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61" yWindow="65461" windowWidth="9690" windowHeight="7290" tabRatio="591" activeTab="3"/>
  </bookViews>
  <sheets>
    <sheet name="январь 2012" sheetId="1" r:id="rId1"/>
    <sheet name="Оклади на 2013" sheetId="2" r:id="rId2"/>
    <sheet name="Штатное 1.01.15" sheetId="3" r:id="rId3"/>
    <sheet name="Штатное 1.01.15 (2)" sheetId="4" r:id="rId4"/>
  </sheets>
  <definedNames>
    <definedName name="_xlnm.Print_Titles" localSheetId="2">'Штатное 1.01.15'!$14:$14</definedName>
    <definedName name="_xlnm.Print_Titles" localSheetId="3">'Штатное 1.01.15 (2)'!$14:$14</definedName>
    <definedName name="_xlnm.Print_Area" localSheetId="1">'Оклади на 2013'!$A$1:$AC$42</definedName>
    <definedName name="_xlnm.Print_Area" localSheetId="2">'Штатное 1.01.15'!$A$1:$S$740</definedName>
    <definedName name="_xlnm.Print_Area" localSheetId="3">'Штатное 1.01.15 (2)'!$A$1:$S$740</definedName>
    <definedName name="_xlnm.Print_Area" localSheetId="0">'январь 2012'!$A$1:$AA$40</definedName>
  </definedNames>
  <calcPr fullCalcOnLoad="1"/>
</workbook>
</file>

<file path=xl/sharedStrings.xml><?xml version="1.0" encoding="utf-8"?>
<sst xmlns="http://schemas.openxmlformats.org/spreadsheetml/2006/main" count="1974" uniqueCount="578">
  <si>
    <t>Назва структурного підрозділу та посад</t>
  </si>
  <si>
    <t>Кіль-кість штат-них посад</t>
  </si>
  <si>
    <t>Надбавки</t>
  </si>
  <si>
    <t>Доплати</t>
  </si>
  <si>
    <t>30% за викон обов. зам. дек.</t>
  </si>
  <si>
    <t>АУП за умовами оплати віднесений до НПП</t>
  </si>
  <si>
    <t>"ЗАТВЕРДЖУЮ"</t>
  </si>
  <si>
    <t>ОДЕСЬКОЇ ДЕРЖАВНОЇ АКАДЕМІЇ</t>
  </si>
  <si>
    <t>БУДІВНИЦТВА ТА АРХІТЕКТУРИ</t>
  </si>
  <si>
    <t>1.</t>
  </si>
  <si>
    <t>3.</t>
  </si>
  <si>
    <t>2.</t>
  </si>
  <si>
    <t>Проректор</t>
  </si>
  <si>
    <t>4.</t>
  </si>
  <si>
    <t>Разом по АУП</t>
  </si>
  <si>
    <t>ПРОФЕСОРСЬКО-ВИКЛАДАЦЬКИЙ ПЕРСОНАЛ</t>
  </si>
  <si>
    <t>Доцент</t>
  </si>
  <si>
    <t>Професор, проф.,докт.</t>
  </si>
  <si>
    <t>Доцент, доц.,к.т.н.</t>
  </si>
  <si>
    <t>5.</t>
  </si>
  <si>
    <t>6.</t>
  </si>
  <si>
    <t>7.</t>
  </si>
  <si>
    <t>8.</t>
  </si>
  <si>
    <t>9.</t>
  </si>
  <si>
    <t>Професор, проф.,канд.</t>
  </si>
  <si>
    <t>10.</t>
  </si>
  <si>
    <t>11.</t>
  </si>
  <si>
    <t>Старший викладач</t>
  </si>
  <si>
    <t>12.</t>
  </si>
  <si>
    <t>13.</t>
  </si>
  <si>
    <t>Ассистенти</t>
  </si>
  <si>
    <t>Разом по ПВС</t>
  </si>
  <si>
    <t>Погодинний фонд</t>
  </si>
  <si>
    <t>Інші НПП</t>
  </si>
  <si>
    <t>Разом по інших НПП</t>
  </si>
  <si>
    <t>Разом по НПП</t>
  </si>
  <si>
    <t>УЧБОВО-ДОПОМІЖНИЙ ПЕРСОНАЛ</t>
  </si>
  <si>
    <t>1. Старш.лаборант</t>
  </si>
  <si>
    <t>2. Майстр</t>
  </si>
  <si>
    <t>3. Лаборант</t>
  </si>
  <si>
    <t>Всього</t>
  </si>
  <si>
    <t>2. Старш.лаборант</t>
  </si>
  <si>
    <t>Кафедра українознавства</t>
  </si>
  <si>
    <t>Кафедра нарисної геометрії та креслення</t>
  </si>
  <si>
    <t>1. Інженер</t>
  </si>
  <si>
    <t>Кафедра залізобетонних та кам"яних конструкцій</t>
  </si>
  <si>
    <t>2. Інженер 1 кат.</t>
  </si>
  <si>
    <t>3. Інженер 2 кат.</t>
  </si>
  <si>
    <t>4. Майстр</t>
  </si>
  <si>
    <t>1. Вчений секретар</t>
  </si>
  <si>
    <t>5. Лаборант</t>
  </si>
  <si>
    <t xml:space="preserve">2. Інженер </t>
  </si>
  <si>
    <t>4. Лаборант</t>
  </si>
  <si>
    <t>Кафедра теоретичної механіки</t>
  </si>
  <si>
    <t>Кафедра ПОМ та САПР</t>
  </si>
  <si>
    <t xml:space="preserve">3. Інженер </t>
  </si>
  <si>
    <t>2. Інженер 2 кат.</t>
  </si>
  <si>
    <t>6. Лаборант</t>
  </si>
  <si>
    <t xml:space="preserve">2. Провідний інженер </t>
  </si>
  <si>
    <t>14.</t>
  </si>
  <si>
    <t>Кафедра будівельної механіки</t>
  </si>
  <si>
    <t>2. Інженер</t>
  </si>
  <si>
    <t>15.</t>
  </si>
  <si>
    <t>Кафедра опіру матеріалів</t>
  </si>
  <si>
    <t>16.</t>
  </si>
  <si>
    <t>Кафедра фізики</t>
  </si>
  <si>
    <t>17.</t>
  </si>
  <si>
    <t>18.</t>
  </si>
  <si>
    <t>19.</t>
  </si>
  <si>
    <t>Кафедра теплогазопостачання</t>
  </si>
  <si>
    <t>20.</t>
  </si>
  <si>
    <t>21.</t>
  </si>
  <si>
    <t>22.</t>
  </si>
  <si>
    <t>Кафедра вищої математики</t>
  </si>
  <si>
    <t>23.</t>
  </si>
  <si>
    <t>Кафедра іноземних мов</t>
  </si>
  <si>
    <t>24.</t>
  </si>
  <si>
    <t>3. Інженер</t>
  </si>
  <si>
    <t>25.</t>
  </si>
  <si>
    <t>26.</t>
  </si>
  <si>
    <t>2. Лаборант</t>
  </si>
  <si>
    <t>27.</t>
  </si>
  <si>
    <t>28.</t>
  </si>
  <si>
    <t>Кафедра фізвиховання та спорту</t>
  </si>
  <si>
    <t>29.</t>
  </si>
  <si>
    <t>30.</t>
  </si>
  <si>
    <t>Кафедра ПАТСМ</t>
  </si>
  <si>
    <t>31.</t>
  </si>
  <si>
    <t>32.</t>
  </si>
  <si>
    <t xml:space="preserve"> Кафедра хімії та екології</t>
  </si>
  <si>
    <t>33.</t>
  </si>
  <si>
    <t xml:space="preserve"> </t>
  </si>
  <si>
    <t>34.</t>
  </si>
  <si>
    <t>35.</t>
  </si>
  <si>
    <t>36.</t>
  </si>
  <si>
    <t>Відділ технічних засобів навчання і комп"ютерізації</t>
  </si>
  <si>
    <t>1. Начальник відділу</t>
  </si>
  <si>
    <t>6. Майстр</t>
  </si>
  <si>
    <t>37.</t>
  </si>
  <si>
    <t>Лабораторія нових технологій навчання</t>
  </si>
  <si>
    <t>Музей</t>
  </si>
  <si>
    <t>Всього по УДП</t>
  </si>
  <si>
    <t>Ректорат</t>
  </si>
  <si>
    <t>1. Помічник ректора</t>
  </si>
  <si>
    <t>3. Головний інженер</t>
  </si>
  <si>
    <t>4. Головний механік</t>
  </si>
  <si>
    <t>5. Головний енергетик</t>
  </si>
  <si>
    <t xml:space="preserve">3. Інженер-програмист </t>
  </si>
  <si>
    <t>5. Диспетчер</t>
  </si>
  <si>
    <t>1. Диспетчер</t>
  </si>
  <si>
    <t>2. Інспектор</t>
  </si>
  <si>
    <t>Експлутаційно-технічний відділ</t>
  </si>
  <si>
    <t>3. Інженер 1 кат.</t>
  </si>
  <si>
    <t>3. Старший товарознавець</t>
  </si>
  <si>
    <t>4. Комірник</t>
  </si>
  <si>
    <t>Відділ кадрів</t>
  </si>
  <si>
    <t>1. Начальник відділу кадрів</t>
  </si>
  <si>
    <t>4. Інспектор</t>
  </si>
  <si>
    <t>Планово-фінансовий відділ</t>
  </si>
  <si>
    <t>3. Провідний бухгалтер</t>
  </si>
  <si>
    <t>Друга частина</t>
  </si>
  <si>
    <t>1. Начальник другої частини</t>
  </si>
  <si>
    <t>3. Інспектор</t>
  </si>
  <si>
    <t>Вузол зв"язку</t>
  </si>
  <si>
    <t>1. Начальник вузлу зв"язку</t>
  </si>
  <si>
    <t>Господарський відділ</t>
  </si>
  <si>
    <t>2. Комендант</t>
  </si>
  <si>
    <t>Багатотиражна газета</t>
  </si>
  <si>
    <t>1. Редактор</t>
  </si>
  <si>
    <t>Бібліотека</t>
  </si>
  <si>
    <t>1. Директор</t>
  </si>
  <si>
    <t>Студентське містечко</t>
  </si>
  <si>
    <t>1. Директор студмістечка</t>
  </si>
  <si>
    <t>4. Комендант</t>
  </si>
  <si>
    <t>5. Паспортист</t>
  </si>
  <si>
    <t>Відділ експл.спорт.споруд</t>
  </si>
  <si>
    <t>Воєнвзована охорона</t>
  </si>
  <si>
    <t>1. Начальник ВОХР</t>
  </si>
  <si>
    <t>3. Начальник караула</t>
  </si>
  <si>
    <t>3. Технічний редактор</t>
  </si>
  <si>
    <t>2. Прибиральниця</t>
  </si>
  <si>
    <t>3. Прибиральниця</t>
  </si>
  <si>
    <t>4. Двірник</t>
  </si>
  <si>
    <t>1. Прибиральниця</t>
  </si>
  <si>
    <t>3. Зав.камери схову</t>
  </si>
  <si>
    <t>4. Черговий по гуртожитку</t>
  </si>
  <si>
    <t>Автогосподарство</t>
  </si>
  <si>
    <t>2. Вантажник</t>
  </si>
  <si>
    <t>4. Водій автовантажувача</t>
  </si>
  <si>
    <t>6. Водій а/м "Волга" ГАЗ 3110 № 450-35 ОВ</t>
  </si>
  <si>
    <t>Всього по загальному фонду</t>
  </si>
  <si>
    <t>ШТАТНИЙ РОЗПИС ЗА РАХУНОК СПЕЦІАЛЬНОГО ФОНДУ</t>
  </si>
  <si>
    <t>Всього по АУП</t>
  </si>
  <si>
    <t>УЧБОВО-ДОПОМІЖНИЙ, АДМІНІСТРАТИВНО-КЕРІВНИЙ ТА ОБСЛУГОВУЮЧИЙ ПЕРСОНАЛ</t>
  </si>
  <si>
    <t>1. Лаборант</t>
  </si>
  <si>
    <t>Лабораторія інформаційних технологій навчання</t>
  </si>
  <si>
    <t xml:space="preserve">Кафедра міське будівництво і господартво </t>
  </si>
  <si>
    <t>Санаторій профілакторій</t>
  </si>
  <si>
    <t>Котельня</t>
  </si>
  <si>
    <t>1. Оператор котельні</t>
  </si>
  <si>
    <t xml:space="preserve">Разом </t>
  </si>
  <si>
    <t>ЦЕНТР ПІДГОТОВКИ СПЕЦІАЛІСТІВ ДЛЯ ЗАРУБІЖНИХ КРАІН</t>
  </si>
  <si>
    <t>1. Старший лаборант</t>
  </si>
  <si>
    <t>Відділ міжнародних зв"язків</t>
  </si>
  <si>
    <t>2. Старший інспектор</t>
  </si>
  <si>
    <t>1. Старший інспектор</t>
  </si>
  <si>
    <t>Всього по ЦПС</t>
  </si>
  <si>
    <t>УЧБОВО-ВИРОБНИЧИІ МАЙСТЕРНІ</t>
  </si>
  <si>
    <t>Разом по спеціальному фонду</t>
  </si>
  <si>
    <t>ВСЬОГО по спец.фонду</t>
  </si>
  <si>
    <t>Начальник ПФВ</t>
  </si>
  <si>
    <t>Адміністративно-господарський персонал</t>
  </si>
  <si>
    <t>Кафедра організації будівництва та охорони праці</t>
  </si>
  <si>
    <t>38.</t>
  </si>
  <si>
    <t>39.</t>
  </si>
  <si>
    <t xml:space="preserve">2. Редактор </t>
  </si>
  <si>
    <t>Відділ зв"язку з виробництвом та маркетингу</t>
  </si>
  <si>
    <t>Деканат  по роботі з іноземними учнями ЦПС</t>
  </si>
  <si>
    <t>Кафедра архітектурних конструкцій, реставрації та реконструкції будівель, споруд та їх комплексів</t>
  </si>
  <si>
    <t>Кафедра основ архітектури</t>
  </si>
  <si>
    <t>2. Технік 1 кат.</t>
  </si>
  <si>
    <t>Учбово-допоміжний персонал кафедри мовної підготовки ЦПС</t>
  </si>
  <si>
    <t>3. Інженер-програмист 1 кат.</t>
  </si>
  <si>
    <t>Редакційно-видавницький відділ</t>
  </si>
  <si>
    <t>Викладач, "майстр спорта"</t>
  </si>
  <si>
    <t>Ректор</t>
  </si>
  <si>
    <t>Викладач</t>
  </si>
  <si>
    <t>ШТАТНИЙ РОЗПИС ЗА РАХУНОК ЗАГАЛЬНОГО ФОНДУ</t>
  </si>
  <si>
    <t>Проректор, проф., докт.</t>
  </si>
  <si>
    <t>Навчально-практичний центр</t>
  </si>
  <si>
    <t xml:space="preserve">2.  Провідний інженер </t>
  </si>
  <si>
    <t xml:space="preserve">2. Провідний економіст </t>
  </si>
  <si>
    <t>2. Старший лаборант</t>
  </si>
  <si>
    <t>Аспірантура</t>
  </si>
  <si>
    <t>1. Інспектор</t>
  </si>
  <si>
    <t>1. Керівник відділу</t>
  </si>
  <si>
    <t>Адмін.-госп.та учбовий персонал</t>
  </si>
  <si>
    <t>2. Провідний інженер</t>
  </si>
  <si>
    <t xml:space="preserve">3. Лаборант </t>
  </si>
  <si>
    <t>Всього по АУП і обсл.перс.</t>
  </si>
  <si>
    <t>Декан, проф., докт</t>
  </si>
  <si>
    <t>Декан, доц., к.т.н.</t>
  </si>
  <si>
    <t>7. Старший лаборант</t>
  </si>
  <si>
    <t>Кафедра основаній та фундам.</t>
  </si>
  <si>
    <t>40.</t>
  </si>
  <si>
    <t>Кафедра кондиціювання повітря та механіка рідини</t>
  </si>
  <si>
    <t xml:space="preserve">2. Провідний нженер </t>
  </si>
  <si>
    <t>4. Старший викладач</t>
  </si>
  <si>
    <t xml:space="preserve">1. Декан по РІУ, доцент </t>
  </si>
  <si>
    <t xml:space="preserve">3. Доцент </t>
  </si>
  <si>
    <t>Доцент  канд.</t>
  </si>
  <si>
    <t>Професор  доц.,к.т.н.</t>
  </si>
  <si>
    <t>· Електромонтер</t>
  </si>
  <si>
    <t>·Слюсар-водопровідник</t>
  </si>
  <si>
    <t>·Столяр</t>
  </si>
  <si>
    <t>·Електромонтер</t>
  </si>
  <si>
    <t>·Слюсар -водопровідник</t>
  </si>
  <si>
    <t>Доцент, доц., к.н.</t>
  </si>
  <si>
    <t>Доцент к.н.</t>
  </si>
  <si>
    <t>Асистент</t>
  </si>
  <si>
    <t>ВОХР</t>
  </si>
  <si>
    <t>За поче-сні, спорт-ивні звання</t>
  </si>
  <si>
    <t>1. Інженер 1 кат.</t>
  </si>
  <si>
    <t xml:space="preserve">1. Інженер </t>
  </si>
  <si>
    <t>Доцент, доц.</t>
  </si>
  <si>
    <t>Ассистент канд.</t>
  </si>
  <si>
    <t>1. Виконавець робіт</t>
  </si>
  <si>
    <t xml:space="preserve">4. Лаборант </t>
  </si>
  <si>
    <t>Кафедра філософії, політології і  права</t>
  </si>
  <si>
    <t>4. Інженер</t>
  </si>
  <si>
    <t>3-20% за зав. кафедрою</t>
  </si>
  <si>
    <t>За вчене звання 25% - 33%</t>
  </si>
  <si>
    <t>Кафедра містобудування</t>
  </si>
  <si>
    <t>Кафедра землеустрію та кадастру</t>
  </si>
  <si>
    <t>Кафедра архітектури будівель та споруд</t>
  </si>
  <si>
    <t xml:space="preserve"> Кафедра інженерної геодезії</t>
  </si>
  <si>
    <t>7. Технік 1 кат.</t>
  </si>
  <si>
    <t>Кафедра будівельних конструкцій</t>
  </si>
  <si>
    <t>январь</t>
  </si>
  <si>
    <t>апрель</t>
  </si>
  <si>
    <t>июль</t>
  </si>
  <si>
    <t>октябрь</t>
  </si>
  <si>
    <t>декабрь</t>
  </si>
  <si>
    <t>Тариф. коеф.</t>
  </si>
  <si>
    <t>Оклад</t>
  </si>
  <si>
    <t>Відділ інформаційного забезпечення</t>
  </si>
  <si>
    <t>4. Бухгалтер 1 кат.</t>
  </si>
  <si>
    <t>Кафедра енергетичного та водногосподарського будівництва</t>
  </si>
  <si>
    <t>сентябрь</t>
  </si>
  <si>
    <t>СТУДЕНТСЬКА ЇДАЛЬНЯ</t>
  </si>
  <si>
    <t>спец</t>
  </si>
  <si>
    <t>Кафедра технології будівельного виробництва</t>
  </si>
  <si>
    <t>1. Майстр</t>
  </si>
  <si>
    <t>робітн.</t>
  </si>
  <si>
    <t>ПВС</t>
  </si>
  <si>
    <t>всього</t>
  </si>
  <si>
    <t>3. Майстр</t>
  </si>
  <si>
    <t>ЦЕНТР ПІСЛЯДИПЛОМНОЇ ОСВІТИ</t>
  </si>
  <si>
    <t>УЧБОВО-ВИРОБНИЧИЙ ТА  АДМІНІСТРАТИВНО-ГОСПОДАРСЬКИЙ ПЕРСОНАЛ ЦЕНТРУ  ДОАКАДЕМІЧНОЇ ОСВІТИ</t>
  </si>
  <si>
    <t>Кафедра образотворчого мистецтва</t>
  </si>
  <si>
    <t>41.</t>
  </si>
  <si>
    <t>9. Вахтер</t>
  </si>
  <si>
    <t>Кафедра водопостачання</t>
  </si>
  <si>
    <t>За склад-ність та напру-женість  особл. умови</t>
  </si>
  <si>
    <t>4. Бібліотекар</t>
  </si>
  <si>
    <t>3. Бібліотекар 2 кат.</t>
  </si>
  <si>
    <t>2. Інженер - програмист 1 кат.</t>
  </si>
  <si>
    <t>5. Бухгалтер 2 кат.</t>
  </si>
  <si>
    <t xml:space="preserve">6. Бухгалтер </t>
  </si>
  <si>
    <t>7. Старший касир</t>
  </si>
  <si>
    <t>ноябрь</t>
  </si>
  <si>
    <t>Фонд заробіт-ної плати на місяць, (грн.)</t>
  </si>
  <si>
    <t>№ з/п</t>
  </si>
  <si>
    <t>Методичний відділ</t>
  </si>
  <si>
    <t>Кошторисно-договірний відділ</t>
  </si>
  <si>
    <t>7. Водій трактора МТЗ-80.1</t>
  </si>
  <si>
    <t>8. Водій а/м "ГАЗ 3307" № 485-32 ОВ</t>
  </si>
  <si>
    <t>10. Водій а/м ГАЗ 3110 № 555-65 ОВ</t>
  </si>
  <si>
    <t>11. Водій а/м" ГАЗ 33023-414" № ВН 43-16 СК</t>
  </si>
  <si>
    <t>12. Водій а/м "ИЖ-27-15" № 079-87 ОТ</t>
  </si>
  <si>
    <t>13. Водій а/м "GEELY-МВ-7151" № ВН 20-51 СА</t>
  </si>
  <si>
    <t>4. Технік</t>
  </si>
  <si>
    <t>1. Інженер 2 кат.</t>
  </si>
  <si>
    <t>Разом сума по окладах</t>
  </si>
  <si>
    <t>прорект</t>
  </si>
  <si>
    <t>деканы</t>
  </si>
  <si>
    <t>За наук. ступінь 15% - 25%</t>
  </si>
  <si>
    <t>1. Комендант</t>
  </si>
  <si>
    <t>2. Кастелянка</t>
  </si>
  <si>
    <t>6. Прибиральниця</t>
  </si>
  <si>
    <t>7. Двірник</t>
  </si>
  <si>
    <t>8. Садівник</t>
  </si>
  <si>
    <t>10. Сторож</t>
  </si>
  <si>
    <t>Кафедра водовідведення та гідравліки</t>
  </si>
  <si>
    <t xml:space="preserve"> Відділ безпеки життєдіяльності</t>
  </si>
  <si>
    <t>4. Інженер-спец.охорони .праці 2 кат.</t>
  </si>
  <si>
    <t>5. Інженер-спец. пожежної безпеки</t>
  </si>
  <si>
    <t>1. Діловод</t>
  </si>
  <si>
    <t>проф</t>
  </si>
  <si>
    <t>доц</t>
  </si>
  <si>
    <t>старш.преп</t>
  </si>
  <si>
    <t>преп</t>
  </si>
  <si>
    <t>Погод.</t>
  </si>
  <si>
    <t xml:space="preserve">ПРОФЕСОРСЬКО-ВИКЛАДАЦЬКИЙ ПЕРСОНАЛ </t>
  </si>
  <si>
    <t>Кафедра кондиціювання повітря та механікі рідини</t>
  </si>
  <si>
    <t>Учбово-допоміжний персонал ЦПС</t>
  </si>
  <si>
    <t>Старший лаборант</t>
  </si>
  <si>
    <t>Прибиральниця</t>
  </si>
  <si>
    <t>1. Провідний юрисконсульт</t>
  </si>
  <si>
    <t>Проректора, гл.бухг.</t>
  </si>
  <si>
    <t>Зам.гл.бухг.</t>
  </si>
  <si>
    <t>Пом.ректора</t>
  </si>
  <si>
    <t>Пом.прорект.</t>
  </si>
  <si>
    <t>Заст. кер.навч.част</t>
  </si>
  <si>
    <t>Нач.від.кадрів</t>
  </si>
  <si>
    <t>Зам.дир.по вих.</t>
  </si>
  <si>
    <t>За стаж роботи в науко-вій сфері</t>
  </si>
  <si>
    <t>За нічні</t>
  </si>
  <si>
    <t>Дезин-фекція,  клас-ність водіям</t>
  </si>
  <si>
    <t>Прис-воє-ний роз-ряд</t>
  </si>
  <si>
    <t>Кафедра металевих, дерев"яних та пластмасових конструкцій</t>
  </si>
  <si>
    <t>Разом по надбав-кам  та допла-там</t>
  </si>
  <si>
    <t>Оклад по ЕТС</t>
  </si>
  <si>
    <t>УСЬОГО по КПКВ 2201160 на рік</t>
  </si>
  <si>
    <t>КПКВ - 2201160</t>
  </si>
  <si>
    <t>Усього за посадовими окладами</t>
  </si>
  <si>
    <t>1. Керівник вироб.практики</t>
  </si>
  <si>
    <t>3. Нормувальник</t>
  </si>
  <si>
    <t>5. Слюсар</t>
  </si>
  <si>
    <t>6. Слюсар 5 розр.</t>
  </si>
  <si>
    <t>7. Столяр</t>
  </si>
  <si>
    <t>8. Столяр 4 розр.</t>
  </si>
  <si>
    <t>9. Токар</t>
  </si>
  <si>
    <t>Головний  бухгалтер</t>
  </si>
  <si>
    <t>Бухгалтерська служба</t>
  </si>
  <si>
    <t>4. Кухар</t>
  </si>
  <si>
    <t>5. Буфетник</t>
  </si>
  <si>
    <t>42.</t>
  </si>
  <si>
    <t>43.</t>
  </si>
  <si>
    <t>44.</t>
  </si>
  <si>
    <t>2. Двірник</t>
  </si>
  <si>
    <t>Кафедра виробництва будівель-них виробів та конструкцій</t>
  </si>
  <si>
    <t>Кафедра виробництва будіве-льних виробів та конструкцій</t>
  </si>
  <si>
    <t>Кафедра менеджементу та управління проектами</t>
  </si>
  <si>
    <t>Кафедра маркетингу</t>
  </si>
  <si>
    <t>6. Комірник</t>
  </si>
  <si>
    <t>3. Економіст 2 кат.</t>
  </si>
  <si>
    <t>Прожитковий мінімум для працездатних осіб</t>
  </si>
  <si>
    <t xml:space="preserve">Оклад </t>
  </si>
  <si>
    <t>Зам.нач.ВОХР</t>
  </si>
  <si>
    <t>1. Провідний інженер</t>
  </si>
  <si>
    <t>Загальний відділ</t>
  </si>
  <si>
    <t>4. Діловод</t>
  </si>
  <si>
    <t>5. Експедитор</t>
  </si>
  <si>
    <t>6. Секретар-друкарка</t>
  </si>
  <si>
    <t>АДМІНІСТРАТИВНО-ГОСПОДАРСЬКИЙ ТА ОБСЛУГОВУЮЧИЙ ПЕРСОНАЛ</t>
  </si>
  <si>
    <t>5. Секретар-друкарка</t>
  </si>
  <si>
    <t>6. Архіваріус</t>
  </si>
  <si>
    <t>8. Ліфтер-обходчик</t>
  </si>
  <si>
    <t>3. Робітник вузлу зв"язку</t>
  </si>
  <si>
    <t>5. Прибиральниця</t>
  </si>
  <si>
    <t>4. Прибиральниця</t>
  </si>
  <si>
    <t>6. Двірник</t>
  </si>
  <si>
    <t>7. Садівник</t>
  </si>
  <si>
    <t>8. Натирач підлоги</t>
  </si>
  <si>
    <t>7. Кастелянша</t>
  </si>
  <si>
    <t>9. Черговий по гуртожитку</t>
  </si>
  <si>
    <t>10. Двірник</t>
  </si>
  <si>
    <t>11. Садівник</t>
  </si>
  <si>
    <t>4. Сторож</t>
  </si>
  <si>
    <t>Разом по АГП та ОП</t>
  </si>
  <si>
    <t xml:space="preserve">Професор, проф., докт. </t>
  </si>
  <si>
    <t xml:space="preserve">Професор, проф., канд. </t>
  </si>
  <si>
    <t>5. Майстр по ремонту будівель, споруд і обладнання</t>
  </si>
  <si>
    <t xml:space="preserve">Бюджет </t>
  </si>
  <si>
    <t>Декан</t>
  </si>
  <si>
    <t>Спец.фонд</t>
  </si>
  <si>
    <t>Зав.каф.проф</t>
  </si>
  <si>
    <t>Зав.каф.доц</t>
  </si>
  <si>
    <t>Зав.каф.ст.викл.</t>
  </si>
  <si>
    <t>спец.АУП</t>
  </si>
  <si>
    <t>Зам.директора бібліотеки</t>
  </si>
  <si>
    <t>5. Електрозварник</t>
  </si>
  <si>
    <t>4. Електрогазозварник</t>
  </si>
  <si>
    <t>грудень</t>
  </si>
  <si>
    <t>Відділ державних закупівель</t>
  </si>
  <si>
    <t>Зам.дир.бібліотеки</t>
  </si>
  <si>
    <t>Кафедра будівельних матеріалів</t>
  </si>
  <si>
    <t>6. Старший інспектор</t>
  </si>
  <si>
    <t>45.</t>
  </si>
  <si>
    <t>46.</t>
  </si>
  <si>
    <t>47.</t>
  </si>
  <si>
    <t>1. Керівник</t>
  </si>
  <si>
    <t>1. Провідний бухгалтер</t>
  </si>
  <si>
    <t>2. Бухгалтер 1 кат.</t>
  </si>
  <si>
    <t>2. Секретар-друкарка</t>
  </si>
  <si>
    <t>4. Головний бібліотекар</t>
  </si>
  <si>
    <t>6. Редактор 1 кат.</t>
  </si>
  <si>
    <t>7. Бібліотекар 1 кат.</t>
  </si>
  <si>
    <t>8. Бібліотекар 2 кат.</t>
  </si>
  <si>
    <t>9. Бібліограф 1 кат.</t>
  </si>
  <si>
    <t>10. Бібліограф</t>
  </si>
  <si>
    <t>11. Бібліотекар</t>
  </si>
  <si>
    <t>4. Старший інспектор</t>
  </si>
  <si>
    <t>5. Диспетчер факультету</t>
  </si>
  <si>
    <t>6. Директор студклуба</t>
  </si>
  <si>
    <t>7. Секретар-друк.факультету</t>
  </si>
  <si>
    <t>8. Інспектор</t>
  </si>
  <si>
    <t xml:space="preserve">9. Інспектор </t>
  </si>
  <si>
    <t>10. Секретар-друкарка</t>
  </si>
  <si>
    <t>Зам нач.життед</t>
  </si>
  <si>
    <t>6. Інженер-спец. цівільн. захисту 1 кат.</t>
  </si>
  <si>
    <t>Зав.відд.життед.</t>
  </si>
  <si>
    <t>3. Технік 1 кат.</t>
  </si>
  <si>
    <t>9. Водій а/м"ГАЗ-3101" № 700-36 ОЕ</t>
  </si>
  <si>
    <t>2. Сторож</t>
  </si>
  <si>
    <t>1. Начальник караулу</t>
  </si>
  <si>
    <t xml:space="preserve">Індексація </t>
  </si>
  <si>
    <t>Погодинний фонд (художні ВНЗ)</t>
  </si>
  <si>
    <t>ср.зарпл</t>
  </si>
  <si>
    <t>3. Інженер-спеціаліст еколог</t>
  </si>
  <si>
    <t>Январь</t>
  </si>
  <si>
    <t>Декабрь</t>
  </si>
  <si>
    <t>Проректора, гл.бухгалтер</t>
  </si>
  <si>
    <t>7. Друкарка 2 кат.</t>
  </si>
  <si>
    <t xml:space="preserve">8. Технік </t>
  </si>
  <si>
    <t>9. Лаборант</t>
  </si>
  <si>
    <t>Міністерство освіти і науки України</t>
  </si>
  <si>
    <t xml:space="preserve">Кафедра малюнку, живопису та архітектурної графіки </t>
  </si>
  <si>
    <t xml:space="preserve">8. Старший лаборант </t>
  </si>
  <si>
    <t>12. Робітник по обслуговуванню та поточному ремонту будівель, споруд та обладнання</t>
  </si>
  <si>
    <t>3. Робітник по обслуговуванню та поточому ремонту будівель, споруд та обладнання</t>
  </si>
  <si>
    <t>Доцент к.т.н.</t>
  </si>
  <si>
    <t>Спеціалізований відділ забезпе-чення та впровадження нових технологій збереження  енергоносіїв та трансферту технологій NTTN (Національна мережа трансферу технологій)</t>
  </si>
  <si>
    <t>1. Робітник по обслуговуванню та поточному ремонту будівель, споруд та обладння</t>
  </si>
  <si>
    <t>Кафедра опалення, вентиляції та охорони повітряного басейну</t>
  </si>
  <si>
    <t>Секретар друкарка філії с Степанівка</t>
  </si>
  <si>
    <t>5.Водій а/м "ИЖ-412" № 617-99 ОЕ</t>
  </si>
  <si>
    <t>Директор ЦДО</t>
  </si>
  <si>
    <t>Проректор доц., д.т.н.</t>
  </si>
  <si>
    <t>Інспектор</t>
  </si>
  <si>
    <t>Лаборант</t>
  </si>
  <si>
    <t>Кафедра загальнотеоретичних і спеціальних дисциплін</t>
  </si>
  <si>
    <t>Всього по ЦПО</t>
  </si>
  <si>
    <t>Професор доц., к.т.н.</t>
  </si>
  <si>
    <t>Нерозподіленні видатки на  підвищен-ня заробітної плати та матеріальну допомогу</t>
  </si>
  <si>
    <t>К. Л.  Фроліна</t>
  </si>
  <si>
    <t>Ф.З  Болюх</t>
  </si>
  <si>
    <t>Заступник Міністра-керіник апарату_______________________О.С. Дніпров</t>
  </si>
  <si>
    <t>1. Інженер 2кат.</t>
  </si>
  <si>
    <t>1. Головний бухгалтер</t>
  </si>
  <si>
    <t>Обслуговуючий персонал ЦПС</t>
  </si>
  <si>
    <t>1. Бухгалтер ЦПС</t>
  </si>
  <si>
    <t xml:space="preserve">3. Бухгалтер </t>
  </si>
  <si>
    <t>Бухгалтер</t>
  </si>
  <si>
    <t xml:space="preserve">6. Провідний інженер-спеціаліст цівільного захисту </t>
  </si>
  <si>
    <t>В.О. Ректора</t>
  </si>
  <si>
    <t>3.  Лаборант</t>
  </si>
  <si>
    <t>Доплата на оздоровлення</t>
  </si>
  <si>
    <t>Загальний</t>
  </si>
  <si>
    <t>Проф</t>
  </si>
  <si>
    <t>докт</t>
  </si>
  <si>
    <t>кан</t>
  </si>
  <si>
    <t>зав.каф.</t>
  </si>
  <si>
    <t>старш</t>
  </si>
  <si>
    <t>асист</t>
  </si>
  <si>
    <t>Спеціальний</t>
  </si>
  <si>
    <t>Факультети</t>
  </si>
  <si>
    <t>8. Кур'єр</t>
  </si>
  <si>
    <t>бібліотека</t>
  </si>
  <si>
    <t>Навчальний відділ</t>
  </si>
  <si>
    <t>1. Керівник навчального відділу</t>
  </si>
  <si>
    <t xml:space="preserve">Навчальний відділ </t>
  </si>
  <si>
    <t>Доцент доц., канд.</t>
  </si>
  <si>
    <t>Доцент  к.н.</t>
  </si>
  <si>
    <t xml:space="preserve">Доцент </t>
  </si>
  <si>
    <t>Штат в кількості  1355,05    тисячу тристо пятьдесят пять  і п"ять сотих  штатних одиниці</t>
  </si>
  <si>
    <r>
      <t xml:space="preserve">із місячним фондом заробітної плати </t>
    </r>
    <r>
      <rPr>
        <u val="single"/>
        <sz val="11"/>
        <rFont val="Times New Roman"/>
        <family val="1"/>
      </rPr>
      <t xml:space="preserve">3569500 три мільйони пятьсот шістьдесят  </t>
    </r>
    <r>
      <rPr>
        <sz val="11"/>
        <rFont val="Times New Roman"/>
        <family val="1"/>
      </rPr>
      <t>_______</t>
    </r>
  </si>
  <si>
    <r>
      <t>девять тисяч пятьсот гривень</t>
    </r>
    <r>
      <rPr>
        <sz val="11"/>
        <rFont val="Times New Roman"/>
        <family val="1"/>
      </rPr>
      <t>____________________________________________________</t>
    </r>
  </si>
  <si>
    <t>"_______"_____________________2015 р.</t>
  </si>
  <si>
    <t xml:space="preserve">Фонд зар.плати  </t>
  </si>
  <si>
    <t>3. Старший лаборант</t>
  </si>
  <si>
    <t>5. Старший лаборант б.в.о.</t>
  </si>
  <si>
    <t>4. Старший лаборант</t>
  </si>
  <si>
    <t>5. Оператор комп"ютерного класу</t>
  </si>
  <si>
    <t>4. Старший лаборант б.в.о.</t>
  </si>
  <si>
    <t>2. Старший лаборант б.в.о.</t>
  </si>
  <si>
    <t>2. Помічник проректора по АГР</t>
  </si>
  <si>
    <t>4. Старший диспетчер</t>
  </si>
  <si>
    <t>7. Робітник по обслуговуванню та поточному ремонту будівель, споруд та обладнання</t>
  </si>
  <si>
    <t>2. Завідувач центральним складом</t>
  </si>
  <si>
    <t>3. Старший інспектор</t>
  </si>
  <si>
    <t>2. Заступник головного бухгалтера</t>
  </si>
  <si>
    <t>Кафедра економіки підприємства</t>
  </si>
  <si>
    <t>Кафедра основаній та фундаментів</t>
  </si>
  <si>
    <t>Кафедра проектування, будівництва та експлуатації автомобільних доріг</t>
  </si>
  <si>
    <t>Кафедра підйомно-транспортних, будівельних і дорожних машин</t>
  </si>
  <si>
    <t>2. Заступник керівника навчального відділу</t>
  </si>
  <si>
    <t>3. Старший інспектор по контролю</t>
  </si>
  <si>
    <t>3. Робітник по обслуговуванню та поточному ремонту будівель, споруд та обладнання</t>
  </si>
  <si>
    <t>2. Заступник директора</t>
  </si>
  <si>
    <t>2. Завідувач аспірантури</t>
  </si>
  <si>
    <t>1. Завідувач лабораторії</t>
  </si>
  <si>
    <t>1. Завідувач музею</t>
  </si>
  <si>
    <t>6. Робітник по обслуговуванню та поточному ремонту будівель, споруд та обладнання</t>
  </si>
  <si>
    <t>·Слюсар по обслуговуванню підземних та надземих теплотрас</t>
  </si>
  <si>
    <t>2. Завідувач архіву</t>
  </si>
  <si>
    <t>1. Завідувач господарством</t>
  </si>
  <si>
    <t>3. Завідувач відділом</t>
  </si>
  <si>
    <t>5. Завідувач сектору</t>
  </si>
  <si>
    <t>2. Заступник директора по експлуатації</t>
  </si>
  <si>
    <t>3. Заступник директора по вихованню</t>
  </si>
  <si>
    <t>8. Завідувач камери схову</t>
  </si>
  <si>
    <t>2. Заступник начальника ВОХР</t>
  </si>
  <si>
    <t>2. Заступник начальника відділу</t>
  </si>
  <si>
    <t>1. Робітник по обслуговуванню та поточному ремонту будівель, споруд та обладнання</t>
  </si>
  <si>
    <t>Проректор, проф., докт. "Заслужений діяч"</t>
  </si>
  <si>
    <t>Ректор, проф., докт."Заслужений діяч"</t>
  </si>
  <si>
    <t>Професор, проф., д.т.н.</t>
  </si>
  <si>
    <t>Викладач, майстр спорту міжнародного класу</t>
  </si>
  <si>
    <t>2. Робітник по обслуговуванню та поточному ремонту будівель, споруд та обладнання</t>
  </si>
  <si>
    <t>1. Завідувач господарства</t>
  </si>
  <si>
    <t>5. Робітник по обслуговуванню та поточному ремонту будівель, споруд та обладнання</t>
  </si>
  <si>
    <t>Професорсько-викладацький склад кафедри мовної підготовки ЦПС</t>
  </si>
  <si>
    <t>2. Завідувач кафедри, приват-доцент</t>
  </si>
  <si>
    <t xml:space="preserve"> Завідувач кафедри, доцент, к.т.н.</t>
  </si>
  <si>
    <t>Завідувач підготовчими курсами</t>
  </si>
  <si>
    <t>3. Касир студентської їдальні</t>
  </si>
  <si>
    <t>7. Робітник громадського харчування</t>
  </si>
  <si>
    <t>8. Підсобний робітник громадського харчування</t>
  </si>
  <si>
    <t>1. Завідувач майстернями</t>
  </si>
  <si>
    <t>1. Директор студентської їдальні</t>
  </si>
  <si>
    <t>2. Завідувач виробництвом</t>
  </si>
  <si>
    <t>1. Завідувач відділом</t>
  </si>
  <si>
    <t>2. Завідувач сектором</t>
  </si>
  <si>
    <t>4. Бухгалтер студентської  їдальні</t>
  </si>
  <si>
    <t>МК учбова лабораторія дідактичних матеріалів</t>
  </si>
  <si>
    <t>Старший викладач, канд.</t>
  </si>
  <si>
    <t>Старший викладач, майстр спорту</t>
  </si>
  <si>
    <t>Фонд заробітної плати на 2015р. (грн.)</t>
  </si>
  <si>
    <t>ШТАТНИЙ РОЗПИС на 2015рік</t>
  </si>
  <si>
    <t>1. Завідувач  лабораторії</t>
  </si>
  <si>
    <t>МК учбова лабораторія дідактич-них та роздаткових матеріалів</t>
  </si>
  <si>
    <t xml:space="preserve"> Директор ЦПО</t>
  </si>
  <si>
    <t>жовтень</t>
  </si>
  <si>
    <t>Завідуючий кафедри:</t>
  </si>
  <si>
    <t>Проф., проф., докт. "Засл.діяч"</t>
  </si>
  <si>
    <t>В.о.зав.каф.старш.викл., майстр спорту</t>
  </si>
  <si>
    <t>Старш.викл. "майстр сп. міжн."</t>
  </si>
  <si>
    <t>Старш.викл., "майстр спорта"</t>
  </si>
  <si>
    <t xml:space="preserve">3. Економіст 1 кат. </t>
  </si>
  <si>
    <t>2.Заступник начальника відділу</t>
  </si>
  <si>
    <t>4. Корректор</t>
  </si>
  <si>
    <t>5. Оператор копіюв. і розм.маш.</t>
  </si>
  <si>
    <t>6. Оператор обчислюв.машин</t>
  </si>
  <si>
    <t>А. В. Ковров</t>
  </si>
  <si>
    <t>Ректор, проф., канд</t>
  </si>
  <si>
    <t xml:space="preserve">Професор  докт. </t>
  </si>
  <si>
    <t>Проректор, проф., докт. "Засл.діяч"</t>
  </si>
  <si>
    <t>Проректор проф., д.т.н.</t>
  </si>
  <si>
    <t>Старш.викл., майстр спорту, канд.</t>
  </si>
  <si>
    <t>Ректор, проф., докт.</t>
  </si>
  <si>
    <r>
      <t>девять тисяч девятьсот гривень</t>
    </r>
    <r>
      <rPr>
        <sz val="11"/>
        <rFont val="Times New Roman"/>
        <family val="1"/>
      </rPr>
      <t>____________________________________________________</t>
    </r>
  </si>
  <si>
    <t>2. Помічник ректора</t>
  </si>
  <si>
    <t>3. Помічник проректора по АГР</t>
  </si>
  <si>
    <t>4. Головний інженер</t>
  </si>
  <si>
    <t>5. Головний механік</t>
  </si>
  <si>
    <t>6. Головний енергетик</t>
  </si>
  <si>
    <t>7. Секретар-друкарка</t>
  </si>
  <si>
    <t>1. Заступник головного бухгалтера</t>
  </si>
  <si>
    <t>2. Провідний бухгалтер</t>
  </si>
  <si>
    <t>3. Бухгалтер 1 кат.</t>
  </si>
  <si>
    <t>4. Бухгалтер 2 кат.</t>
  </si>
  <si>
    <t xml:space="preserve">5. Бухгалтер </t>
  </si>
  <si>
    <t>6. Старший касир</t>
  </si>
  <si>
    <t>Матер.допомога на оздоровлення</t>
  </si>
  <si>
    <t>Заступник Міністра</t>
  </si>
  <si>
    <r>
      <t xml:space="preserve">із місячним фондом заробітної плати </t>
    </r>
    <r>
      <rPr>
        <u val="single"/>
        <sz val="11"/>
        <rFont val="Times New Roman"/>
        <family val="1"/>
      </rPr>
      <t xml:space="preserve">3639900 три мільйони шістьсот тридцать  </t>
    </r>
    <r>
      <rPr>
        <sz val="11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</si>
</sst>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[$€-2]\ ###,000_);[Red]\([$€-2]\ ###,000\)"/>
    <numFmt numFmtId="185" formatCode="mmm/yyyy"/>
  </numFmts>
  <fonts count="47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72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77" fontId="3" fillId="0" borderId="13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" fontId="3" fillId="0" borderId="17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2" fontId="3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2" fontId="3" fillId="0" borderId="14" xfId="0" applyNumberFormat="1" applyFont="1" applyBorder="1" applyAlignment="1">
      <alignment vertical="center"/>
    </xf>
    <xf numFmtId="172" fontId="3" fillId="0" borderId="2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72" fontId="8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2" fontId="3" fillId="0" borderId="14" xfId="0" applyNumberFormat="1" applyFont="1" applyBorder="1" applyAlignment="1">
      <alignment vertical="center" wrapText="1"/>
    </xf>
    <xf numFmtId="172" fontId="3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2" fontId="3" fillId="0" borderId="14" xfId="0" applyNumberFormat="1" applyFont="1" applyBorder="1" applyAlignment="1">
      <alignment vertical="center"/>
    </xf>
    <xf numFmtId="172" fontId="3" fillId="0" borderId="2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left" vertical="distributed" wrapText="1"/>
    </xf>
    <xf numFmtId="0" fontId="3" fillId="0" borderId="20" xfId="0" applyFont="1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323850</xdr:rowOff>
    </xdr:from>
    <xdr:to>
      <xdr:col>1</xdr:col>
      <xdr:colOff>0</xdr:colOff>
      <xdr:row>2</xdr:row>
      <xdr:rowOff>438150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2900" y="7810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1</xdr:col>
      <xdr:colOff>0</xdr:colOff>
      <xdr:row>4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2900" y="1924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9"/>
  <sheetViews>
    <sheetView view="pageBreakPreview" zoomScale="75" zoomScaleNormal="75" zoomScaleSheetLayoutView="75" zoomScalePageLayoutView="0" workbookViewId="0" topLeftCell="A1">
      <selection activeCell="A23" sqref="A23:IV23"/>
    </sheetView>
  </sheetViews>
  <sheetFormatPr defaultColWidth="9.140625" defaultRowHeight="12.75"/>
  <cols>
    <col min="1" max="1" width="5.140625" style="0" customWidth="1"/>
    <col min="2" max="2" width="18.28125" style="0" customWidth="1"/>
    <col min="3" max="4" width="11.7109375" style="0" hidden="1" customWidth="1"/>
    <col min="5" max="5" width="10.57421875" style="0" hidden="1" customWidth="1"/>
    <col min="6" max="6" width="9.8515625" style="0" hidden="1" customWidth="1"/>
    <col min="7" max="7" width="9.00390625" style="0" hidden="1" customWidth="1"/>
    <col min="8" max="8" width="8.421875" style="0" hidden="1" customWidth="1"/>
    <col min="9" max="9" width="9.421875" style="0" hidden="1" customWidth="1"/>
    <col min="10" max="10" width="8.8515625" style="0" hidden="1" customWidth="1"/>
    <col min="11" max="11" width="9.7109375" style="0" hidden="1" customWidth="1"/>
    <col min="12" max="12" width="9.57421875" style="0" hidden="1" customWidth="1"/>
    <col min="13" max="13" width="7.57421875" style="0" hidden="1" customWidth="1"/>
    <col min="14" max="14" width="0" style="0" hidden="1" customWidth="1"/>
    <col min="15" max="15" width="8.8515625" style="0" hidden="1" customWidth="1"/>
    <col min="16" max="17" width="8.00390625" style="0" hidden="1" customWidth="1"/>
    <col min="18" max="18" width="10.421875" style="0" hidden="1" customWidth="1"/>
    <col min="19" max="19" width="0" style="0" hidden="1" customWidth="1"/>
    <col min="21" max="22" width="9.7109375" style="0" customWidth="1"/>
    <col min="23" max="23" width="13.57421875" style="0" customWidth="1"/>
    <col min="24" max="24" width="11.28125" style="0" customWidth="1"/>
    <col min="25" max="25" width="12.00390625" style="0" customWidth="1"/>
    <col min="26" max="26" width="11.00390625" style="0" customWidth="1"/>
    <col min="27" max="27" width="11.28125" style="0" customWidth="1"/>
  </cols>
  <sheetData>
    <row r="1" spans="1:27" ht="18">
      <c r="A1" s="76"/>
      <c r="B1" s="149">
        <v>2008</v>
      </c>
      <c r="C1" s="149"/>
      <c r="D1" s="149"/>
      <c r="E1" s="149"/>
      <c r="F1" s="149">
        <v>2009</v>
      </c>
      <c r="G1" s="149"/>
      <c r="H1" s="149"/>
      <c r="I1" s="149"/>
      <c r="J1" s="149"/>
      <c r="K1" s="149">
        <v>2010</v>
      </c>
      <c r="L1" s="149"/>
      <c r="M1" s="149"/>
      <c r="N1" s="76"/>
      <c r="O1" s="149">
        <v>2011</v>
      </c>
      <c r="P1" s="149"/>
      <c r="Q1" s="149"/>
      <c r="R1" s="149"/>
      <c r="S1" s="149"/>
      <c r="T1" s="148">
        <v>2012</v>
      </c>
      <c r="U1" s="148"/>
      <c r="V1" s="148"/>
      <c r="W1" s="148"/>
      <c r="X1" s="148"/>
      <c r="Y1" s="148"/>
      <c r="Z1" s="148">
        <v>2013</v>
      </c>
      <c r="AA1" s="148"/>
    </row>
    <row r="2" spans="1:27" ht="18">
      <c r="A2" s="76"/>
      <c r="B2" s="77" t="s">
        <v>248</v>
      </c>
      <c r="C2" s="77" t="s">
        <v>248</v>
      </c>
      <c r="D2" s="77" t="s">
        <v>241</v>
      </c>
      <c r="E2" s="77" t="s">
        <v>242</v>
      </c>
      <c r="F2" s="77" t="s">
        <v>238</v>
      </c>
      <c r="G2" s="77" t="s">
        <v>239</v>
      </c>
      <c r="H2" s="77" t="s">
        <v>240</v>
      </c>
      <c r="I2" s="77" t="s">
        <v>241</v>
      </c>
      <c r="J2" s="77" t="s">
        <v>270</v>
      </c>
      <c r="K2" s="77" t="s">
        <v>238</v>
      </c>
      <c r="L2" s="77" t="s">
        <v>239</v>
      </c>
      <c r="M2" s="77" t="s">
        <v>240</v>
      </c>
      <c r="N2" s="77" t="s">
        <v>241</v>
      </c>
      <c r="O2" s="77" t="s">
        <v>238</v>
      </c>
      <c r="P2" s="77" t="s">
        <v>239</v>
      </c>
      <c r="Q2" s="77" t="s">
        <v>240</v>
      </c>
      <c r="R2" s="77" t="s">
        <v>248</v>
      </c>
      <c r="S2" s="78" t="s">
        <v>242</v>
      </c>
      <c r="T2" s="77" t="s">
        <v>238</v>
      </c>
      <c r="U2" s="77" t="s">
        <v>239</v>
      </c>
      <c r="V2" s="77" t="s">
        <v>240</v>
      </c>
      <c r="W2" s="77" t="s">
        <v>248</v>
      </c>
      <c r="X2" s="77" t="s">
        <v>241</v>
      </c>
      <c r="Y2" s="77" t="s">
        <v>242</v>
      </c>
      <c r="Z2" s="77" t="s">
        <v>421</v>
      </c>
      <c r="AA2" s="77" t="s">
        <v>422</v>
      </c>
    </row>
    <row r="3" spans="1:27" ht="36">
      <c r="A3" s="76"/>
      <c r="B3" s="79" t="s">
        <v>243</v>
      </c>
      <c r="C3" s="77" t="s">
        <v>244</v>
      </c>
      <c r="D3" s="77" t="s">
        <v>244</v>
      </c>
      <c r="E3" s="77" t="s">
        <v>244</v>
      </c>
      <c r="F3" s="77" t="s">
        <v>244</v>
      </c>
      <c r="G3" s="77" t="s">
        <v>244</v>
      </c>
      <c r="H3" s="77" t="s">
        <v>244</v>
      </c>
      <c r="I3" s="77" t="s">
        <v>244</v>
      </c>
      <c r="J3" s="77" t="s">
        <v>244</v>
      </c>
      <c r="K3" s="77" t="s">
        <v>244</v>
      </c>
      <c r="L3" s="77" t="s">
        <v>244</v>
      </c>
      <c r="M3" s="77" t="s">
        <v>244</v>
      </c>
      <c r="N3" s="77" t="s">
        <v>244</v>
      </c>
      <c r="O3" s="77" t="s">
        <v>244</v>
      </c>
      <c r="P3" s="77" t="s">
        <v>244</v>
      </c>
      <c r="Q3" s="79" t="s">
        <v>348</v>
      </c>
      <c r="R3" s="79" t="s">
        <v>244</v>
      </c>
      <c r="S3" s="79" t="s">
        <v>348</v>
      </c>
      <c r="T3" s="77" t="s">
        <v>244</v>
      </c>
      <c r="U3" s="77" t="s">
        <v>244</v>
      </c>
      <c r="V3" s="77" t="s">
        <v>244</v>
      </c>
      <c r="W3" s="77" t="s">
        <v>244</v>
      </c>
      <c r="X3" s="77" t="s">
        <v>244</v>
      </c>
      <c r="Y3" s="77" t="s">
        <v>244</v>
      </c>
      <c r="Z3" s="77" t="s">
        <v>244</v>
      </c>
      <c r="AA3" s="77" t="s">
        <v>244</v>
      </c>
    </row>
    <row r="4" spans="1:30" ht="18">
      <c r="A4" s="76"/>
      <c r="B4" s="79"/>
      <c r="C4" s="77"/>
      <c r="D4" s="80">
        <v>545</v>
      </c>
      <c r="E4" s="80">
        <v>545</v>
      </c>
      <c r="F4" s="80">
        <v>545</v>
      </c>
      <c r="G4" s="80">
        <v>545</v>
      </c>
      <c r="H4" s="80">
        <v>545</v>
      </c>
      <c r="I4" s="80">
        <v>545</v>
      </c>
      <c r="J4" s="80">
        <v>545</v>
      </c>
      <c r="K4" s="80">
        <v>555</v>
      </c>
      <c r="L4" s="80">
        <v>567</v>
      </c>
      <c r="M4" s="80">
        <v>570</v>
      </c>
      <c r="N4" s="80">
        <v>586</v>
      </c>
      <c r="O4" s="81">
        <f>613</f>
        <v>613</v>
      </c>
      <c r="P4" s="82">
        <v>625</v>
      </c>
      <c r="Q4" s="82">
        <f>625+10</f>
        <v>635</v>
      </c>
      <c r="R4" s="82">
        <f>641</f>
        <v>641</v>
      </c>
      <c r="S4" s="78">
        <v>704</v>
      </c>
      <c r="T4" s="84">
        <v>773</v>
      </c>
      <c r="U4" s="83">
        <v>794</v>
      </c>
      <c r="V4" s="84">
        <v>802</v>
      </c>
      <c r="W4" s="84">
        <v>807</v>
      </c>
      <c r="X4" s="84">
        <v>823</v>
      </c>
      <c r="Y4" s="84">
        <v>839</v>
      </c>
      <c r="Z4" s="83">
        <v>852</v>
      </c>
      <c r="AA4" s="83">
        <v>852</v>
      </c>
      <c r="AC4" s="12"/>
      <c r="AD4" s="12"/>
    </row>
    <row r="5" spans="1:30" ht="18">
      <c r="A5" s="76">
        <v>1</v>
      </c>
      <c r="B5" s="85">
        <v>1</v>
      </c>
      <c r="C5" s="86">
        <f aca="true" t="shared" si="0" ref="C5:C29">525*B5</f>
        <v>525</v>
      </c>
      <c r="D5" s="86">
        <f aca="true" t="shared" si="1" ref="D5:D29">545*B5</f>
        <v>545</v>
      </c>
      <c r="E5" s="86">
        <v>605</v>
      </c>
      <c r="F5" s="86">
        <v>605</v>
      </c>
      <c r="G5" s="86">
        <v>625</v>
      </c>
      <c r="H5" s="86">
        <v>630</v>
      </c>
      <c r="I5" s="86">
        <v>650</v>
      </c>
      <c r="J5" s="86">
        <v>744</v>
      </c>
      <c r="K5" s="86">
        <v>869</v>
      </c>
      <c r="L5" s="86">
        <v>884</v>
      </c>
      <c r="M5" s="86">
        <v>888</v>
      </c>
      <c r="N5" s="86">
        <v>907</v>
      </c>
      <c r="O5" s="81">
        <v>941</v>
      </c>
      <c r="P5" s="87">
        <v>960</v>
      </c>
      <c r="Q5" s="87">
        <v>960</v>
      </c>
      <c r="R5" s="87">
        <v>960</v>
      </c>
      <c r="S5" s="87">
        <v>1004</v>
      </c>
      <c r="T5" s="88">
        <v>1073</v>
      </c>
      <c r="U5" s="88">
        <v>1094</v>
      </c>
      <c r="V5" s="88">
        <v>1102</v>
      </c>
      <c r="W5" s="88">
        <v>1102</v>
      </c>
      <c r="X5" s="88">
        <f>W5+X4-W4</f>
        <v>1118</v>
      </c>
      <c r="Y5" s="88">
        <v>1134</v>
      </c>
      <c r="Z5" s="94">
        <v>1147</v>
      </c>
      <c r="AA5" s="83">
        <v>1218</v>
      </c>
      <c r="AD5" s="12"/>
    </row>
    <row r="6" spans="1:30" ht="18">
      <c r="A6" s="76">
        <f aca="true" t="shared" si="2" ref="A6:A29">A5+1</f>
        <v>2</v>
      </c>
      <c r="B6" s="85">
        <v>1.09</v>
      </c>
      <c r="C6" s="86">
        <f t="shared" si="0"/>
        <v>572.25</v>
      </c>
      <c r="D6" s="86">
        <f t="shared" si="1"/>
        <v>594.0500000000001</v>
      </c>
      <c r="E6" s="86">
        <v>605</v>
      </c>
      <c r="F6" s="86">
        <v>605</v>
      </c>
      <c r="G6" s="86">
        <v>625</v>
      </c>
      <c r="H6" s="86">
        <v>630</v>
      </c>
      <c r="I6" s="86">
        <v>650</v>
      </c>
      <c r="J6" s="86">
        <v>744</v>
      </c>
      <c r="K6" s="86">
        <v>869</v>
      </c>
      <c r="L6" s="86">
        <v>884</v>
      </c>
      <c r="M6" s="86">
        <v>888</v>
      </c>
      <c r="N6" s="86">
        <v>907</v>
      </c>
      <c r="O6" s="81">
        <v>941</v>
      </c>
      <c r="P6" s="87">
        <v>960</v>
      </c>
      <c r="Q6" s="87">
        <v>965</v>
      </c>
      <c r="R6" s="89">
        <v>965</v>
      </c>
      <c r="S6" s="89">
        <v>1009</v>
      </c>
      <c r="T6" s="88">
        <v>1078</v>
      </c>
      <c r="U6" s="88">
        <v>1099</v>
      </c>
      <c r="V6" s="90">
        <f>V5+5</f>
        <v>1107</v>
      </c>
      <c r="W6" s="90">
        <v>1107</v>
      </c>
      <c r="X6" s="88">
        <f>X5+5</f>
        <v>1123</v>
      </c>
      <c r="Y6" s="90">
        <v>1139</v>
      </c>
      <c r="Z6" s="94">
        <v>1152</v>
      </c>
      <c r="AA6" s="83">
        <v>1218</v>
      </c>
      <c r="AB6" s="12"/>
      <c r="AC6" s="12"/>
      <c r="AD6" s="12"/>
    </row>
    <row r="7" spans="1:30" ht="18">
      <c r="A7" s="76">
        <f t="shared" si="2"/>
        <v>3</v>
      </c>
      <c r="B7" s="85">
        <v>1.18</v>
      </c>
      <c r="C7" s="86">
        <f t="shared" si="0"/>
        <v>619.5</v>
      </c>
      <c r="D7" s="86">
        <f t="shared" si="1"/>
        <v>643.1</v>
      </c>
      <c r="E7" s="86">
        <f aca="true" t="shared" si="3" ref="E7:E29">545*B7</f>
        <v>643.1</v>
      </c>
      <c r="F7" s="86">
        <f aca="true" t="shared" si="4" ref="F7:F29">545*B7</f>
        <v>643.1</v>
      </c>
      <c r="G7" s="86">
        <f aca="true" t="shared" si="5" ref="G7:G29">545*B7</f>
        <v>643.1</v>
      </c>
      <c r="H7" s="86">
        <f aca="true" t="shared" si="6" ref="H7:H29">545*B7</f>
        <v>643.1</v>
      </c>
      <c r="I7" s="86">
        <v>650</v>
      </c>
      <c r="J7" s="86">
        <v>744</v>
      </c>
      <c r="K7" s="86">
        <v>869</v>
      </c>
      <c r="L7" s="86">
        <v>884</v>
      </c>
      <c r="M7" s="86">
        <v>888</v>
      </c>
      <c r="N7" s="86">
        <v>907</v>
      </c>
      <c r="O7" s="81">
        <v>941</v>
      </c>
      <c r="P7" s="87">
        <v>960</v>
      </c>
      <c r="Q7" s="87">
        <v>975</v>
      </c>
      <c r="R7" s="89">
        <v>975</v>
      </c>
      <c r="S7" s="89">
        <v>1019</v>
      </c>
      <c r="T7" s="88">
        <v>1088</v>
      </c>
      <c r="U7" s="88">
        <v>1109</v>
      </c>
      <c r="V7" s="90">
        <f aca="true" t="shared" si="7" ref="V7:W9">U7+V5-U5</f>
        <v>1117</v>
      </c>
      <c r="W7" s="90">
        <f t="shared" si="7"/>
        <v>1117</v>
      </c>
      <c r="X7" s="91">
        <v>1133</v>
      </c>
      <c r="Y7" s="90">
        <v>1149</v>
      </c>
      <c r="Z7" s="94">
        <v>1162</v>
      </c>
      <c r="AA7" s="83">
        <v>1218</v>
      </c>
      <c r="AB7" s="12"/>
      <c r="AC7" s="12"/>
      <c r="AD7" s="12"/>
    </row>
    <row r="8" spans="1:30" ht="18">
      <c r="A8" s="76">
        <f t="shared" si="2"/>
        <v>4</v>
      </c>
      <c r="B8" s="85">
        <v>1.27</v>
      </c>
      <c r="C8" s="86">
        <f t="shared" si="0"/>
        <v>666.75</v>
      </c>
      <c r="D8" s="86">
        <f t="shared" si="1"/>
        <v>692.15</v>
      </c>
      <c r="E8" s="86">
        <f t="shared" si="3"/>
        <v>692.15</v>
      </c>
      <c r="F8" s="86">
        <f t="shared" si="4"/>
        <v>692.15</v>
      </c>
      <c r="G8" s="86">
        <f t="shared" si="5"/>
        <v>692.15</v>
      </c>
      <c r="H8" s="86">
        <f t="shared" si="6"/>
        <v>692.15</v>
      </c>
      <c r="I8" s="86">
        <f aca="true" t="shared" si="8" ref="I8:I29">545*B8</f>
        <v>692.15</v>
      </c>
      <c r="J8" s="86">
        <v>744</v>
      </c>
      <c r="K8" s="86">
        <v>869</v>
      </c>
      <c r="L8" s="86">
        <v>884</v>
      </c>
      <c r="M8" s="86">
        <v>888</v>
      </c>
      <c r="N8" s="86">
        <v>907</v>
      </c>
      <c r="O8" s="81">
        <v>941</v>
      </c>
      <c r="P8" s="87">
        <v>960</v>
      </c>
      <c r="Q8" s="87">
        <v>985</v>
      </c>
      <c r="R8" s="89">
        <v>985</v>
      </c>
      <c r="S8" s="89">
        <v>1029</v>
      </c>
      <c r="T8" s="88">
        <v>1098</v>
      </c>
      <c r="U8" s="88">
        <v>1119</v>
      </c>
      <c r="V8" s="90">
        <f t="shared" si="7"/>
        <v>1127</v>
      </c>
      <c r="W8" s="90">
        <f t="shared" si="7"/>
        <v>1127</v>
      </c>
      <c r="X8" s="91">
        <v>1143</v>
      </c>
      <c r="Y8" s="90">
        <v>1159</v>
      </c>
      <c r="Z8" s="94">
        <v>1172</v>
      </c>
      <c r="AA8" s="83">
        <v>1218</v>
      </c>
      <c r="AB8" s="12"/>
      <c r="AC8" s="12"/>
      <c r="AD8" s="12"/>
    </row>
    <row r="9" spans="1:30" ht="18">
      <c r="A9" s="76">
        <f t="shared" si="2"/>
        <v>5</v>
      </c>
      <c r="B9" s="85">
        <v>1.36</v>
      </c>
      <c r="C9" s="86">
        <f t="shared" si="0"/>
        <v>714</v>
      </c>
      <c r="D9" s="86">
        <f t="shared" si="1"/>
        <v>741.2</v>
      </c>
      <c r="E9" s="86">
        <f t="shared" si="3"/>
        <v>741.2</v>
      </c>
      <c r="F9" s="86">
        <f t="shared" si="4"/>
        <v>741.2</v>
      </c>
      <c r="G9" s="86">
        <f t="shared" si="5"/>
        <v>741.2</v>
      </c>
      <c r="H9" s="86">
        <f t="shared" si="6"/>
        <v>741.2</v>
      </c>
      <c r="I9" s="86">
        <f t="shared" si="8"/>
        <v>741.2</v>
      </c>
      <c r="J9" s="86">
        <v>744</v>
      </c>
      <c r="K9" s="86">
        <v>869</v>
      </c>
      <c r="L9" s="86">
        <v>884</v>
      </c>
      <c r="M9" s="86">
        <v>888</v>
      </c>
      <c r="N9" s="86">
        <v>907</v>
      </c>
      <c r="O9" s="81">
        <v>941</v>
      </c>
      <c r="P9" s="87">
        <v>960</v>
      </c>
      <c r="Q9" s="87">
        <v>995</v>
      </c>
      <c r="R9" s="89">
        <v>995</v>
      </c>
      <c r="S9" s="89">
        <v>1039</v>
      </c>
      <c r="T9" s="88">
        <v>1108</v>
      </c>
      <c r="U9" s="88">
        <v>1129</v>
      </c>
      <c r="V9" s="90">
        <f t="shared" si="7"/>
        <v>1137</v>
      </c>
      <c r="W9" s="90">
        <f t="shared" si="7"/>
        <v>1137</v>
      </c>
      <c r="X9" s="90">
        <f>X8+10</f>
        <v>1153</v>
      </c>
      <c r="Y9" s="90">
        <f>1169</f>
        <v>1169</v>
      </c>
      <c r="Z9" s="94">
        <v>1182</v>
      </c>
      <c r="AA9" s="83">
        <v>1218</v>
      </c>
      <c r="AB9" s="12"/>
      <c r="AC9" s="12"/>
      <c r="AD9" s="12"/>
    </row>
    <row r="10" spans="1:30" ht="18">
      <c r="A10" s="76">
        <f t="shared" si="2"/>
        <v>6</v>
      </c>
      <c r="B10" s="85">
        <v>1.45</v>
      </c>
      <c r="C10" s="86">
        <f t="shared" si="0"/>
        <v>761.25</v>
      </c>
      <c r="D10" s="86">
        <f t="shared" si="1"/>
        <v>790.25</v>
      </c>
      <c r="E10" s="86">
        <f t="shared" si="3"/>
        <v>790.25</v>
      </c>
      <c r="F10" s="86">
        <f t="shared" si="4"/>
        <v>790.25</v>
      </c>
      <c r="G10" s="86">
        <f t="shared" si="5"/>
        <v>790.25</v>
      </c>
      <c r="H10" s="86">
        <f t="shared" si="6"/>
        <v>790.25</v>
      </c>
      <c r="I10" s="86">
        <f t="shared" si="8"/>
        <v>790.25</v>
      </c>
      <c r="J10" s="86">
        <f aca="true" t="shared" si="9" ref="J10:J29">545*B10</f>
        <v>790.25</v>
      </c>
      <c r="K10" s="86">
        <v>869</v>
      </c>
      <c r="L10" s="86">
        <v>884</v>
      </c>
      <c r="M10" s="86">
        <v>888</v>
      </c>
      <c r="N10" s="86">
        <v>907</v>
      </c>
      <c r="O10" s="81">
        <v>941</v>
      </c>
      <c r="P10" s="87">
        <v>960</v>
      </c>
      <c r="Q10" s="87">
        <v>1005</v>
      </c>
      <c r="R10" s="89">
        <v>1005</v>
      </c>
      <c r="S10" s="89">
        <v>1049</v>
      </c>
      <c r="T10" s="84">
        <v>1121</v>
      </c>
      <c r="U10" s="91">
        <f>794*B10</f>
        <v>1151.3</v>
      </c>
      <c r="V10" s="90">
        <f>802*B10</f>
        <v>1162.8999999999999</v>
      </c>
      <c r="W10" s="90">
        <f>807*B10</f>
        <v>1170.1499999999999</v>
      </c>
      <c r="X10" s="90">
        <f>823*B10</f>
        <v>1193.35</v>
      </c>
      <c r="Y10" s="90">
        <f>839*B10</f>
        <v>1216.55</v>
      </c>
      <c r="Z10" s="94">
        <v>1235</v>
      </c>
      <c r="AA10" s="94">
        <v>1235</v>
      </c>
      <c r="AB10" s="12"/>
      <c r="AC10" s="12"/>
      <c r="AD10" s="12"/>
    </row>
    <row r="11" spans="1:30" ht="18">
      <c r="A11" s="76">
        <f t="shared" si="2"/>
        <v>7</v>
      </c>
      <c r="B11" s="85">
        <v>1.54</v>
      </c>
      <c r="C11" s="86">
        <f t="shared" si="0"/>
        <v>808.5</v>
      </c>
      <c r="D11" s="86">
        <f t="shared" si="1"/>
        <v>839.3000000000001</v>
      </c>
      <c r="E11" s="86">
        <f t="shared" si="3"/>
        <v>839.3000000000001</v>
      </c>
      <c r="F11" s="86">
        <f t="shared" si="4"/>
        <v>839.3000000000001</v>
      </c>
      <c r="G11" s="86">
        <f t="shared" si="5"/>
        <v>839.3000000000001</v>
      </c>
      <c r="H11" s="86">
        <f t="shared" si="6"/>
        <v>839.3000000000001</v>
      </c>
      <c r="I11" s="86">
        <f t="shared" si="8"/>
        <v>839.3000000000001</v>
      </c>
      <c r="J11" s="86">
        <f t="shared" si="9"/>
        <v>839.3000000000001</v>
      </c>
      <c r="K11" s="86">
        <v>869</v>
      </c>
      <c r="L11" s="86">
        <v>884</v>
      </c>
      <c r="M11" s="86">
        <v>888</v>
      </c>
      <c r="N11" s="86">
        <v>907</v>
      </c>
      <c r="O11" s="81">
        <f aca="true" t="shared" si="10" ref="O11:O29">613*B11</f>
        <v>944.02</v>
      </c>
      <c r="P11" s="81">
        <f aca="true" t="shared" si="11" ref="P11:P29">625*B11</f>
        <v>962.5</v>
      </c>
      <c r="Q11" s="89">
        <v>1015</v>
      </c>
      <c r="R11" s="89">
        <v>1015</v>
      </c>
      <c r="S11" s="89">
        <v>1084</v>
      </c>
      <c r="T11" s="84">
        <v>1190</v>
      </c>
      <c r="U11" s="91">
        <f aca="true" t="shared" si="12" ref="U11:U29">794*B11</f>
        <v>1222.76</v>
      </c>
      <c r="V11" s="90">
        <f aca="true" t="shared" si="13" ref="V11:V28">802*B11</f>
        <v>1235.08</v>
      </c>
      <c r="W11" s="90">
        <f aca="true" t="shared" si="14" ref="W11:W29">807*B11</f>
        <v>1242.78</v>
      </c>
      <c r="X11" s="90">
        <f aca="true" t="shared" si="15" ref="X11:X28">823*B11</f>
        <v>1267.42</v>
      </c>
      <c r="Y11" s="90">
        <f aca="true" t="shared" si="16" ref="Y11:Y29">839*B11</f>
        <v>1292.06</v>
      </c>
      <c r="Z11" s="94">
        <v>1312</v>
      </c>
      <c r="AA11" s="94">
        <v>1312</v>
      </c>
      <c r="AB11" s="12"/>
      <c r="AC11" s="12"/>
      <c r="AD11" s="12"/>
    </row>
    <row r="12" spans="1:30" ht="18">
      <c r="A12" s="76">
        <f t="shared" si="2"/>
        <v>8</v>
      </c>
      <c r="B12" s="85">
        <v>1.64</v>
      </c>
      <c r="C12" s="86">
        <f t="shared" si="0"/>
        <v>861</v>
      </c>
      <c r="D12" s="86">
        <f t="shared" si="1"/>
        <v>893.8</v>
      </c>
      <c r="E12" s="86">
        <f t="shared" si="3"/>
        <v>893.8</v>
      </c>
      <c r="F12" s="86">
        <f t="shared" si="4"/>
        <v>893.8</v>
      </c>
      <c r="G12" s="86">
        <f t="shared" si="5"/>
        <v>893.8</v>
      </c>
      <c r="H12" s="86">
        <f t="shared" si="6"/>
        <v>893.8</v>
      </c>
      <c r="I12" s="86">
        <f t="shared" si="8"/>
        <v>893.8</v>
      </c>
      <c r="J12" s="86">
        <f t="shared" si="9"/>
        <v>893.8</v>
      </c>
      <c r="K12" s="86">
        <f aca="true" t="shared" si="17" ref="K12:K29">B12*555</f>
        <v>910.1999999999999</v>
      </c>
      <c r="L12" s="86">
        <f aca="true" t="shared" si="18" ref="L12:L29">567*B12</f>
        <v>929.88</v>
      </c>
      <c r="M12" s="86">
        <f aca="true" t="shared" si="19" ref="M12:M29">570*B12</f>
        <v>934.8</v>
      </c>
      <c r="N12" s="86">
        <f aca="true" t="shared" si="20" ref="N12:N29">586*B12</f>
        <v>961.04</v>
      </c>
      <c r="O12" s="81">
        <f t="shared" si="10"/>
        <v>1005.3199999999999</v>
      </c>
      <c r="P12" s="81">
        <f t="shared" si="11"/>
        <v>1025</v>
      </c>
      <c r="Q12" s="89">
        <f aca="true" t="shared" si="21" ref="Q12:Q29">635*B12</f>
        <v>1041.3999999999999</v>
      </c>
      <c r="R12" s="89">
        <v>1051</v>
      </c>
      <c r="S12" s="89">
        <v>1155</v>
      </c>
      <c r="T12" s="84">
        <v>1268</v>
      </c>
      <c r="U12" s="91">
        <f t="shared" si="12"/>
        <v>1302.1599999999999</v>
      </c>
      <c r="V12" s="90">
        <f t="shared" si="13"/>
        <v>1315.28</v>
      </c>
      <c r="W12" s="90">
        <f t="shared" si="14"/>
        <v>1323.48</v>
      </c>
      <c r="X12" s="90">
        <f t="shared" si="15"/>
        <v>1349.72</v>
      </c>
      <c r="Y12" s="90">
        <f t="shared" si="16"/>
        <v>1375.9599999999998</v>
      </c>
      <c r="Z12" s="94">
        <v>1397</v>
      </c>
      <c r="AA12" s="94">
        <v>1397</v>
      </c>
      <c r="AB12" s="12"/>
      <c r="AC12" s="12"/>
      <c r="AD12" s="12"/>
    </row>
    <row r="13" spans="1:30" ht="18">
      <c r="A13" s="76">
        <f t="shared" si="2"/>
        <v>9</v>
      </c>
      <c r="B13" s="85">
        <v>1.73</v>
      </c>
      <c r="C13" s="86">
        <f t="shared" si="0"/>
        <v>908.25</v>
      </c>
      <c r="D13" s="86">
        <f t="shared" si="1"/>
        <v>942.85</v>
      </c>
      <c r="E13" s="86">
        <f t="shared" si="3"/>
        <v>942.85</v>
      </c>
      <c r="F13" s="86">
        <f t="shared" si="4"/>
        <v>942.85</v>
      </c>
      <c r="G13" s="86">
        <f t="shared" si="5"/>
        <v>942.85</v>
      </c>
      <c r="H13" s="86">
        <f t="shared" si="6"/>
        <v>942.85</v>
      </c>
      <c r="I13" s="86">
        <f t="shared" si="8"/>
        <v>942.85</v>
      </c>
      <c r="J13" s="86">
        <f t="shared" si="9"/>
        <v>942.85</v>
      </c>
      <c r="K13" s="86">
        <f t="shared" si="17"/>
        <v>960.15</v>
      </c>
      <c r="L13" s="86">
        <f t="shared" si="18"/>
        <v>980.91</v>
      </c>
      <c r="M13" s="86">
        <f t="shared" si="19"/>
        <v>986.1</v>
      </c>
      <c r="N13" s="86">
        <f t="shared" si="20"/>
        <v>1013.78</v>
      </c>
      <c r="O13" s="81">
        <f t="shared" si="10"/>
        <v>1060.49</v>
      </c>
      <c r="P13" s="81">
        <f t="shared" si="11"/>
        <v>1081.25</v>
      </c>
      <c r="Q13" s="89">
        <f t="shared" si="21"/>
        <v>1098.55</v>
      </c>
      <c r="R13" s="89">
        <v>1109</v>
      </c>
      <c r="S13" s="89">
        <v>1218</v>
      </c>
      <c r="T13" s="84">
        <v>1337</v>
      </c>
      <c r="U13" s="91">
        <f t="shared" si="12"/>
        <v>1373.62</v>
      </c>
      <c r="V13" s="90">
        <f t="shared" si="13"/>
        <v>1387.46</v>
      </c>
      <c r="W13" s="90">
        <f t="shared" si="14"/>
        <v>1396.11</v>
      </c>
      <c r="X13" s="90">
        <f t="shared" si="15"/>
        <v>1423.79</v>
      </c>
      <c r="Y13" s="90">
        <f t="shared" si="16"/>
        <v>1451.47</v>
      </c>
      <c r="Z13" s="94">
        <v>1474</v>
      </c>
      <c r="AA13" s="94">
        <v>1474</v>
      </c>
      <c r="AB13" s="12"/>
      <c r="AC13" s="12"/>
      <c r="AD13" s="12"/>
    </row>
    <row r="14" spans="1:30" ht="18">
      <c r="A14" s="76">
        <f t="shared" si="2"/>
        <v>10</v>
      </c>
      <c r="B14" s="85">
        <v>1.82</v>
      </c>
      <c r="C14" s="86">
        <f t="shared" si="0"/>
        <v>955.5</v>
      </c>
      <c r="D14" s="86">
        <f t="shared" si="1"/>
        <v>991.9</v>
      </c>
      <c r="E14" s="86">
        <f t="shared" si="3"/>
        <v>991.9</v>
      </c>
      <c r="F14" s="86">
        <f t="shared" si="4"/>
        <v>991.9</v>
      </c>
      <c r="G14" s="86">
        <f t="shared" si="5"/>
        <v>991.9</v>
      </c>
      <c r="H14" s="86">
        <f t="shared" si="6"/>
        <v>991.9</v>
      </c>
      <c r="I14" s="86">
        <f t="shared" si="8"/>
        <v>991.9</v>
      </c>
      <c r="J14" s="86">
        <f t="shared" si="9"/>
        <v>991.9</v>
      </c>
      <c r="K14" s="86">
        <f t="shared" si="17"/>
        <v>1010.1</v>
      </c>
      <c r="L14" s="86">
        <f t="shared" si="18"/>
        <v>1031.94</v>
      </c>
      <c r="M14" s="86">
        <f t="shared" si="19"/>
        <v>1037.4</v>
      </c>
      <c r="N14" s="86">
        <f t="shared" si="20"/>
        <v>1066.52</v>
      </c>
      <c r="O14" s="81">
        <f t="shared" si="10"/>
        <v>1115.66</v>
      </c>
      <c r="P14" s="81">
        <f t="shared" si="11"/>
        <v>1137.5</v>
      </c>
      <c r="Q14" s="89">
        <f t="shared" si="21"/>
        <v>1155.7</v>
      </c>
      <c r="R14" s="89">
        <v>1167</v>
      </c>
      <c r="S14" s="89">
        <v>1281</v>
      </c>
      <c r="T14" s="84">
        <v>1407</v>
      </c>
      <c r="U14" s="91">
        <f t="shared" si="12"/>
        <v>1445.0800000000002</v>
      </c>
      <c r="V14" s="90">
        <f t="shared" si="13"/>
        <v>1459.64</v>
      </c>
      <c r="W14" s="90">
        <f t="shared" si="14"/>
        <v>1468.74</v>
      </c>
      <c r="X14" s="90">
        <f t="shared" si="15"/>
        <v>1497.8600000000001</v>
      </c>
      <c r="Y14" s="90">
        <f t="shared" si="16"/>
        <v>1526.98</v>
      </c>
      <c r="Z14" s="94">
        <v>1551</v>
      </c>
      <c r="AA14" s="94">
        <v>1551</v>
      </c>
      <c r="AB14" s="12"/>
      <c r="AC14" s="12"/>
      <c r="AD14" s="12"/>
    </row>
    <row r="15" spans="1:30" ht="18">
      <c r="A15" s="76">
        <f t="shared" si="2"/>
        <v>11</v>
      </c>
      <c r="B15" s="85">
        <v>1.97</v>
      </c>
      <c r="C15" s="86">
        <f t="shared" si="0"/>
        <v>1034.25</v>
      </c>
      <c r="D15" s="86">
        <f t="shared" si="1"/>
        <v>1073.65</v>
      </c>
      <c r="E15" s="86">
        <f t="shared" si="3"/>
        <v>1073.65</v>
      </c>
      <c r="F15" s="86">
        <f t="shared" si="4"/>
        <v>1073.65</v>
      </c>
      <c r="G15" s="86">
        <f t="shared" si="5"/>
        <v>1073.65</v>
      </c>
      <c r="H15" s="86">
        <f t="shared" si="6"/>
        <v>1073.65</v>
      </c>
      <c r="I15" s="86">
        <f t="shared" si="8"/>
        <v>1073.65</v>
      </c>
      <c r="J15" s="86">
        <f t="shared" si="9"/>
        <v>1073.65</v>
      </c>
      <c r="K15" s="86">
        <f t="shared" si="17"/>
        <v>1093.35</v>
      </c>
      <c r="L15" s="86">
        <f t="shared" si="18"/>
        <v>1116.99</v>
      </c>
      <c r="M15" s="86">
        <f t="shared" si="19"/>
        <v>1122.9</v>
      </c>
      <c r="N15" s="86">
        <f t="shared" si="20"/>
        <v>1154.42</v>
      </c>
      <c r="O15" s="81">
        <f t="shared" si="10"/>
        <v>1207.61</v>
      </c>
      <c r="P15" s="81">
        <f t="shared" si="11"/>
        <v>1231.25</v>
      </c>
      <c r="Q15" s="89">
        <f t="shared" si="21"/>
        <v>1250.95</v>
      </c>
      <c r="R15" s="89">
        <v>1263</v>
      </c>
      <c r="S15" s="89">
        <v>1387</v>
      </c>
      <c r="T15" s="84">
        <v>1523</v>
      </c>
      <c r="U15" s="91">
        <f t="shared" si="12"/>
        <v>1564.18</v>
      </c>
      <c r="V15" s="90">
        <f t="shared" si="13"/>
        <v>1579.94</v>
      </c>
      <c r="W15" s="90">
        <f t="shared" si="14"/>
        <v>1589.79</v>
      </c>
      <c r="X15" s="90">
        <f t="shared" si="15"/>
        <v>1621.31</v>
      </c>
      <c r="Y15" s="90">
        <f t="shared" si="16"/>
        <v>1652.83</v>
      </c>
      <c r="Z15" s="94">
        <v>1678</v>
      </c>
      <c r="AA15" s="94">
        <v>1678</v>
      </c>
      <c r="AB15" s="12"/>
      <c r="AC15" s="12"/>
      <c r="AD15" s="12"/>
    </row>
    <row r="16" spans="1:30" ht="18">
      <c r="A16" s="76">
        <f t="shared" si="2"/>
        <v>12</v>
      </c>
      <c r="B16" s="85">
        <v>2.12</v>
      </c>
      <c r="C16" s="86">
        <f t="shared" si="0"/>
        <v>1113</v>
      </c>
      <c r="D16" s="86">
        <f t="shared" si="1"/>
        <v>1155.4</v>
      </c>
      <c r="E16" s="86">
        <f t="shared" si="3"/>
        <v>1155.4</v>
      </c>
      <c r="F16" s="86">
        <f t="shared" si="4"/>
        <v>1155.4</v>
      </c>
      <c r="G16" s="86">
        <f t="shared" si="5"/>
        <v>1155.4</v>
      </c>
      <c r="H16" s="86">
        <f t="shared" si="6"/>
        <v>1155.4</v>
      </c>
      <c r="I16" s="86">
        <f t="shared" si="8"/>
        <v>1155.4</v>
      </c>
      <c r="J16" s="86">
        <f t="shared" si="9"/>
        <v>1155.4</v>
      </c>
      <c r="K16" s="86">
        <f t="shared" si="17"/>
        <v>1176.6000000000001</v>
      </c>
      <c r="L16" s="86">
        <f t="shared" si="18"/>
        <v>1202.04</v>
      </c>
      <c r="M16" s="86">
        <f t="shared" si="19"/>
        <v>1208.4</v>
      </c>
      <c r="N16" s="86">
        <f t="shared" si="20"/>
        <v>1242.3200000000002</v>
      </c>
      <c r="O16" s="81">
        <f t="shared" si="10"/>
        <v>1299.5600000000002</v>
      </c>
      <c r="P16" s="81">
        <f t="shared" si="11"/>
        <v>1325</v>
      </c>
      <c r="Q16" s="89">
        <f t="shared" si="21"/>
        <v>1346.2</v>
      </c>
      <c r="R16" s="89">
        <v>1359</v>
      </c>
      <c r="S16" s="89">
        <v>1492</v>
      </c>
      <c r="T16" s="84">
        <v>1639</v>
      </c>
      <c r="U16" s="91">
        <f t="shared" si="12"/>
        <v>1683.28</v>
      </c>
      <c r="V16" s="90">
        <f t="shared" si="13"/>
        <v>1700.24</v>
      </c>
      <c r="W16" s="90">
        <f t="shared" si="14"/>
        <v>1710.8400000000001</v>
      </c>
      <c r="X16" s="90">
        <f t="shared" si="15"/>
        <v>1744.76</v>
      </c>
      <c r="Y16" s="90">
        <f t="shared" si="16"/>
        <v>1778.68</v>
      </c>
      <c r="Z16" s="94">
        <v>1806</v>
      </c>
      <c r="AA16" s="94">
        <v>1806</v>
      </c>
      <c r="AB16" s="12"/>
      <c r="AC16" s="12"/>
      <c r="AD16" s="12"/>
    </row>
    <row r="17" spans="1:30" ht="18">
      <c r="A17" s="76">
        <f t="shared" si="2"/>
        <v>13</v>
      </c>
      <c r="B17" s="85">
        <v>2.27</v>
      </c>
      <c r="C17" s="86">
        <f t="shared" si="0"/>
        <v>1191.75</v>
      </c>
      <c r="D17" s="86">
        <f t="shared" si="1"/>
        <v>1237.15</v>
      </c>
      <c r="E17" s="86">
        <f t="shared" si="3"/>
        <v>1237.15</v>
      </c>
      <c r="F17" s="86">
        <f t="shared" si="4"/>
        <v>1237.15</v>
      </c>
      <c r="G17" s="86">
        <f t="shared" si="5"/>
        <v>1237.15</v>
      </c>
      <c r="H17" s="86">
        <f t="shared" si="6"/>
        <v>1237.15</v>
      </c>
      <c r="I17" s="86">
        <f t="shared" si="8"/>
        <v>1237.15</v>
      </c>
      <c r="J17" s="86">
        <f t="shared" si="9"/>
        <v>1237.15</v>
      </c>
      <c r="K17" s="86">
        <f t="shared" si="17"/>
        <v>1259.85</v>
      </c>
      <c r="L17" s="86">
        <f t="shared" si="18"/>
        <v>1287.09</v>
      </c>
      <c r="M17" s="86">
        <f t="shared" si="19"/>
        <v>1293.9</v>
      </c>
      <c r="N17" s="86">
        <f t="shared" si="20"/>
        <v>1330.22</v>
      </c>
      <c r="O17" s="81">
        <f t="shared" si="10"/>
        <v>1391.51</v>
      </c>
      <c r="P17" s="81">
        <f t="shared" si="11"/>
        <v>1418.75</v>
      </c>
      <c r="Q17" s="89">
        <f t="shared" si="21"/>
        <v>1441.45</v>
      </c>
      <c r="R17" s="89">
        <v>1455</v>
      </c>
      <c r="S17" s="89">
        <v>1598</v>
      </c>
      <c r="T17" s="84">
        <v>1755</v>
      </c>
      <c r="U17" s="91">
        <f t="shared" si="12"/>
        <v>1802.38</v>
      </c>
      <c r="V17" s="90">
        <f t="shared" si="13"/>
        <v>1820.54</v>
      </c>
      <c r="W17" s="90">
        <f t="shared" si="14"/>
        <v>1831.89</v>
      </c>
      <c r="X17" s="90">
        <f t="shared" si="15"/>
        <v>1868.21</v>
      </c>
      <c r="Y17" s="90">
        <f t="shared" si="16"/>
        <v>1904.53</v>
      </c>
      <c r="Z17" s="94">
        <v>1934</v>
      </c>
      <c r="AA17" s="94">
        <v>1934</v>
      </c>
      <c r="AB17" s="12"/>
      <c r="AC17" s="12"/>
      <c r="AD17" s="12"/>
    </row>
    <row r="18" spans="1:30" ht="18">
      <c r="A18" s="76">
        <f t="shared" si="2"/>
        <v>14</v>
      </c>
      <c r="B18" s="85">
        <v>2.42</v>
      </c>
      <c r="C18" s="86">
        <f t="shared" si="0"/>
        <v>1270.5</v>
      </c>
      <c r="D18" s="86">
        <f t="shared" si="1"/>
        <v>1318.8999999999999</v>
      </c>
      <c r="E18" s="86">
        <f t="shared" si="3"/>
        <v>1318.8999999999999</v>
      </c>
      <c r="F18" s="86">
        <f t="shared" si="4"/>
        <v>1318.8999999999999</v>
      </c>
      <c r="G18" s="86">
        <f t="shared" si="5"/>
        <v>1318.8999999999999</v>
      </c>
      <c r="H18" s="86">
        <f t="shared" si="6"/>
        <v>1318.8999999999999</v>
      </c>
      <c r="I18" s="86">
        <f t="shared" si="8"/>
        <v>1318.8999999999999</v>
      </c>
      <c r="J18" s="86">
        <f t="shared" si="9"/>
        <v>1318.8999999999999</v>
      </c>
      <c r="K18" s="86">
        <f t="shared" si="17"/>
        <v>1343.1</v>
      </c>
      <c r="L18" s="86">
        <f t="shared" si="18"/>
        <v>1372.1399999999999</v>
      </c>
      <c r="M18" s="86">
        <f t="shared" si="19"/>
        <v>1379.3999999999999</v>
      </c>
      <c r="N18" s="86">
        <f t="shared" si="20"/>
        <v>1418.12</v>
      </c>
      <c r="O18" s="81">
        <f t="shared" si="10"/>
        <v>1483.46</v>
      </c>
      <c r="P18" s="81">
        <f t="shared" si="11"/>
        <v>1512.5</v>
      </c>
      <c r="Q18" s="89">
        <f t="shared" si="21"/>
        <v>1536.7</v>
      </c>
      <c r="R18" s="89">
        <v>1551</v>
      </c>
      <c r="S18" s="89">
        <v>1704</v>
      </c>
      <c r="T18" s="84">
        <v>1871</v>
      </c>
      <c r="U18" s="91">
        <f t="shared" si="12"/>
        <v>1921.48</v>
      </c>
      <c r="V18" s="90">
        <f t="shared" si="13"/>
        <v>1940.84</v>
      </c>
      <c r="W18" s="90">
        <f t="shared" si="14"/>
        <v>1952.94</v>
      </c>
      <c r="X18" s="90">
        <f t="shared" si="15"/>
        <v>1991.6599999999999</v>
      </c>
      <c r="Y18" s="90">
        <f t="shared" si="16"/>
        <v>2030.3799999999999</v>
      </c>
      <c r="Z18" s="94">
        <v>2062</v>
      </c>
      <c r="AA18" s="94">
        <v>2062</v>
      </c>
      <c r="AB18" s="12"/>
      <c r="AC18" s="12"/>
      <c r="AD18" s="12"/>
    </row>
    <row r="19" spans="1:30" ht="18">
      <c r="A19" s="76">
        <f t="shared" si="2"/>
        <v>15</v>
      </c>
      <c r="B19" s="85">
        <v>2.58</v>
      </c>
      <c r="C19" s="86">
        <f t="shared" si="0"/>
        <v>1354.5</v>
      </c>
      <c r="D19" s="86">
        <f t="shared" si="1"/>
        <v>1406.1000000000001</v>
      </c>
      <c r="E19" s="86">
        <f t="shared" si="3"/>
        <v>1406.1000000000001</v>
      </c>
      <c r="F19" s="86">
        <f t="shared" si="4"/>
        <v>1406.1000000000001</v>
      </c>
      <c r="G19" s="86">
        <f t="shared" si="5"/>
        <v>1406.1000000000001</v>
      </c>
      <c r="H19" s="86">
        <f t="shared" si="6"/>
        <v>1406.1000000000001</v>
      </c>
      <c r="I19" s="86">
        <f t="shared" si="8"/>
        <v>1406.1000000000001</v>
      </c>
      <c r="J19" s="86">
        <f t="shared" si="9"/>
        <v>1406.1000000000001</v>
      </c>
      <c r="K19" s="86">
        <f t="shared" si="17"/>
        <v>1431.9</v>
      </c>
      <c r="L19" s="86">
        <f t="shared" si="18"/>
        <v>1462.8600000000001</v>
      </c>
      <c r="M19" s="86">
        <f t="shared" si="19"/>
        <v>1470.6000000000001</v>
      </c>
      <c r="N19" s="86">
        <f t="shared" si="20"/>
        <v>1511.88</v>
      </c>
      <c r="O19" s="81">
        <f t="shared" si="10"/>
        <v>1581.54</v>
      </c>
      <c r="P19" s="81">
        <f t="shared" si="11"/>
        <v>1612.5</v>
      </c>
      <c r="Q19" s="89">
        <f t="shared" si="21"/>
        <v>1638.3</v>
      </c>
      <c r="R19" s="89">
        <v>1654</v>
      </c>
      <c r="S19" s="89">
        <v>1816</v>
      </c>
      <c r="T19" s="84">
        <v>1994</v>
      </c>
      <c r="U19" s="91">
        <f t="shared" si="12"/>
        <v>2048.52</v>
      </c>
      <c r="V19" s="90">
        <f t="shared" si="13"/>
        <v>2069.16</v>
      </c>
      <c r="W19" s="90">
        <f t="shared" si="14"/>
        <v>2082.06</v>
      </c>
      <c r="X19" s="90">
        <f t="shared" si="15"/>
        <v>2123.34</v>
      </c>
      <c r="Y19" s="90">
        <f t="shared" si="16"/>
        <v>2164.62</v>
      </c>
      <c r="Z19" s="94">
        <v>2198</v>
      </c>
      <c r="AA19" s="94">
        <v>2198</v>
      </c>
      <c r="AB19" s="12"/>
      <c r="AC19" s="12"/>
      <c r="AD19" s="12"/>
    </row>
    <row r="20" spans="1:30" ht="18">
      <c r="A20" s="76">
        <f t="shared" si="2"/>
        <v>16</v>
      </c>
      <c r="B20" s="85">
        <v>2.79</v>
      </c>
      <c r="C20" s="86">
        <f t="shared" si="0"/>
        <v>1464.75</v>
      </c>
      <c r="D20" s="86">
        <f t="shared" si="1"/>
        <v>1520.55</v>
      </c>
      <c r="E20" s="86">
        <f t="shared" si="3"/>
        <v>1520.55</v>
      </c>
      <c r="F20" s="86">
        <f t="shared" si="4"/>
        <v>1520.55</v>
      </c>
      <c r="G20" s="86">
        <f t="shared" si="5"/>
        <v>1520.55</v>
      </c>
      <c r="H20" s="86">
        <f t="shared" si="6"/>
        <v>1520.55</v>
      </c>
      <c r="I20" s="86">
        <f t="shared" si="8"/>
        <v>1520.55</v>
      </c>
      <c r="J20" s="86">
        <f t="shared" si="9"/>
        <v>1520.55</v>
      </c>
      <c r="K20" s="86">
        <f t="shared" si="17"/>
        <v>1548.45</v>
      </c>
      <c r="L20" s="86">
        <f t="shared" si="18"/>
        <v>1581.93</v>
      </c>
      <c r="M20" s="86">
        <f t="shared" si="19"/>
        <v>1590.3</v>
      </c>
      <c r="N20" s="86">
        <f t="shared" si="20"/>
        <v>1634.94</v>
      </c>
      <c r="O20" s="81">
        <f t="shared" si="10"/>
        <v>1710.27</v>
      </c>
      <c r="P20" s="81">
        <f t="shared" si="11"/>
        <v>1743.75</v>
      </c>
      <c r="Q20" s="89">
        <f t="shared" si="21"/>
        <v>1771.65</v>
      </c>
      <c r="R20" s="89">
        <v>1788</v>
      </c>
      <c r="S20" s="89">
        <v>1964</v>
      </c>
      <c r="T20" s="84">
        <v>2157</v>
      </c>
      <c r="U20" s="91">
        <f t="shared" si="12"/>
        <v>2215.26</v>
      </c>
      <c r="V20" s="90">
        <f t="shared" si="13"/>
        <v>2237.58</v>
      </c>
      <c r="W20" s="90">
        <f t="shared" si="14"/>
        <v>2251.53</v>
      </c>
      <c r="X20" s="90">
        <f t="shared" si="15"/>
        <v>2296.17</v>
      </c>
      <c r="Y20" s="90">
        <f t="shared" si="16"/>
        <v>2340.81</v>
      </c>
      <c r="Z20" s="94">
        <v>2377</v>
      </c>
      <c r="AA20" s="94">
        <v>2377</v>
      </c>
      <c r="AB20" s="12"/>
      <c r="AC20" s="12"/>
      <c r="AD20" s="12"/>
    </row>
    <row r="21" spans="1:30" ht="18">
      <c r="A21" s="76">
        <f t="shared" si="2"/>
        <v>17</v>
      </c>
      <c r="B21" s="85">
        <v>3</v>
      </c>
      <c r="C21" s="86">
        <f t="shared" si="0"/>
        <v>1575</v>
      </c>
      <c r="D21" s="86">
        <f t="shared" si="1"/>
        <v>1635</v>
      </c>
      <c r="E21" s="86">
        <f t="shared" si="3"/>
        <v>1635</v>
      </c>
      <c r="F21" s="86">
        <f t="shared" si="4"/>
        <v>1635</v>
      </c>
      <c r="G21" s="86">
        <f t="shared" si="5"/>
        <v>1635</v>
      </c>
      <c r="H21" s="86">
        <f t="shared" si="6"/>
        <v>1635</v>
      </c>
      <c r="I21" s="86">
        <f t="shared" si="8"/>
        <v>1635</v>
      </c>
      <c r="J21" s="86">
        <f t="shared" si="9"/>
        <v>1635</v>
      </c>
      <c r="K21" s="86">
        <f t="shared" si="17"/>
        <v>1665</v>
      </c>
      <c r="L21" s="86">
        <f t="shared" si="18"/>
        <v>1701</v>
      </c>
      <c r="M21" s="86">
        <f t="shared" si="19"/>
        <v>1710</v>
      </c>
      <c r="N21" s="86">
        <f t="shared" si="20"/>
        <v>1758</v>
      </c>
      <c r="O21" s="81">
        <f t="shared" si="10"/>
        <v>1839</v>
      </c>
      <c r="P21" s="81">
        <f t="shared" si="11"/>
        <v>1875</v>
      </c>
      <c r="Q21" s="89">
        <f t="shared" si="21"/>
        <v>1905</v>
      </c>
      <c r="R21" s="89">
        <v>1923</v>
      </c>
      <c r="S21" s="89">
        <v>2112</v>
      </c>
      <c r="T21" s="84">
        <v>2319</v>
      </c>
      <c r="U21" s="91">
        <f t="shared" si="12"/>
        <v>2382</v>
      </c>
      <c r="V21" s="90">
        <f t="shared" si="13"/>
        <v>2406</v>
      </c>
      <c r="W21" s="90">
        <f t="shared" si="14"/>
        <v>2421</v>
      </c>
      <c r="X21" s="90">
        <f t="shared" si="15"/>
        <v>2469</v>
      </c>
      <c r="Y21" s="90">
        <f t="shared" si="16"/>
        <v>2517</v>
      </c>
      <c r="Z21" s="94">
        <v>2556</v>
      </c>
      <c r="AA21" s="94">
        <v>2556</v>
      </c>
      <c r="AB21" s="12"/>
      <c r="AC21" s="12"/>
      <c r="AD21" s="12"/>
    </row>
    <row r="22" spans="1:30" ht="18">
      <c r="A22" s="76">
        <f t="shared" si="2"/>
        <v>18</v>
      </c>
      <c r="B22" s="85">
        <v>3.21</v>
      </c>
      <c r="C22" s="86">
        <f t="shared" si="0"/>
        <v>1685.25</v>
      </c>
      <c r="D22" s="86">
        <f t="shared" si="1"/>
        <v>1749.45</v>
      </c>
      <c r="E22" s="86">
        <f t="shared" si="3"/>
        <v>1749.45</v>
      </c>
      <c r="F22" s="86">
        <f t="shared" si="4"/>
        <v>1749.45</v>
      </c>
      <c r="G22" s="86">
        <f t="shared" si="5"/>
        <v>1749.45</v>
      </c>
      <c r="H22" s="86">
        <f t="shared" si="6"/>
        <v>1749.45</v>
      </c>
      <c r="I22" s="86">
        <f t="shared" si="8"/>
        <v>1749.45</v>
      </c>
      <c r="J22" s="86">
        <f t="shared" si="9"/>
        <v>1749.45</v>
      </c>
      <c r="K22" s="86">
        <f t="shared" si="17"/>
        <v>1781.55</v>
      </c>
      <c r="L22" s="86">
        <f t="shared" si="18"/>
        <v>1820.07</v>
      </c>
      <c r="M22" s="86">
        <f t="shared" si="19"/>
        <v>1829.7</v>
      </c>
      <c r="N22" s="86">
        <f t="shared" si="20"/>
        <v>1881.06</v>
      </c>
      <c r="O22" s="81">
        <f t="shared" si="10"/>
        <v>1967.73</v>
      </c>
      <c r="P22" s="81">
        <f t="shared" si="11"/>
        <v>2006.25</v>
      </c>
      <c r="Q22" s="89">
        <f t="shared" si="21"/>
        <v>2038.35</v>
      </c>
      <c r="R22" s="89">
        <v>2058</v>
      </c>
      <c r="S22" s="89">
        <v>2260</v>
      </c>
      <c r="T22" s="84">
        <v>2481</v>
      </c>
      <c r="U22" s="91">
        <f t="shared" si="12"/>
        <v>2548.74</v>
      </c>
      <c r="V22" s="90">
        <f t="shared" si="13"/>
        <v>2574.42</v>
      </c>
      <c r="W22" s="90">
        <f t="shared" si="14"/>
        <v>2590.47</v>
      </c>
      <c r="X22" s="90">
        <f t="shared" si="15"/>
        <v>2641.83</v>
      </c>
      <c r="Y22" s="90">
        <f t="shared" si="16"/>
        <v>2693.19</v>
      </c>
      <c r="Z22" s="94">
        <v>2735</v>
      </c>
      <c r="AA22" s="94">
        <v>2735</v>
      </c>
      <c r="AB22" s="12"/>
      <c r="AC22" s="12"/>
      <c r="AD22" s="12"/>
    </row>
    <row r="23" spans="1:30" ht="18">
      <c r="A23" s="76">
        <f t="shared" si="2"/>
        <v>19</v>
      </c>
      <c r="B23" s="85">
        <v>3.42</v>
      </c>
      <c r="C23" s="86">
        <f t="shared" si="0"/>
        <v>1795.5</v>
      </c>
      <c r="D23" s="86">
        <f t="shared" si="1"/>
        <v>1863.8999999999999</v>
      </c>
      <c r="E23" s="86">
        <f t="shared" si="3"/>
        <v>1863.8999999999999</v>
      </c>
      <c r="F23" s="86">
        <f t="shared" si="4"/>
        <v>1863.8999999999999</v>
      </c>
      <c r="G23" s="86">
        <f t="shared" si="5"/>
        <v>1863.8999999999999</v>
      </c>
      <c r="H23" s="86">
        <f t="shared" si="6"/>
        <v>1863.8999999999999</v>
      </c>
      <c r="I23" s="86">
        <f t="shared" si="8"/>
        <v>1863.8999999999999</v>
      </c>
      <c r="J23" s="86">
        <f t="shared" si="9"/>
        <v>1863.8999999999999</v>
      </c>
      <c r="K23" s="86">
        <f t="shared" si="17"/>
        <v>1898.1</v>
      </c>
      <c r="L23" s="86">
        <f t="shared" si="18"/>
        <v>1939.1399999999999</v>
      </c>
      <c r="M23" s="86">
        <f t="shared" si="19"/>
        <v>1949.3999999999999</v>
      </c>
      <c r="N23" s="86">
        <f t="shared" si="20"/>
        <v>2004.12</v>
      </c>
      <c r="O23" s="81">
        <f t="shared" si="10"/>
        <v>2096.46</v>
      </c>
      <c r="P23" s="81">
        <f t="shared" si="11"/>
        <v>2137.5</v>
      </c>
      <c r="Q23" s="89">
        <f t="shared" si="21"/>
        <v>2171.7</v>
      </c>
      <c r="R23" s="89">
        <v>2192</v>
      </c>
      <c r="S23" s="89">
        <v>2408</v>
      </c>
      <c r="T23" s="84">
        <v>2644</v>
      </c>
      <c r="U23" s="91">
        <f t="shared" si="12"/>
        <v>2715.48</v>
      </c>
      <c r="V23" s="90">
        <f t="shared" si="13"/>
        <v>2742.84</v>
      </c>
      <c r="W23" s="90">
        <f t="shared" si="14"/>
        <v>2759.94</v>
      </c>
      <c r="X23" s="90">
        <f t="shared" si="15"/>
        <v>2814.66</v>
      </c>
      <c r="Y23" s="90">
        <f t="shared" si="16"/>
        <v>2869.38</v>
      </c>
      <c r="Z23" s="94">
        <v>2914</v>
      </c>
      <c r="AA23" s="94">
        <v>2914</v>
      </c>
      <c r="AB23" s="12"/>
      <c r="AC23" s="12"/>
      <c r="AD23" s="12"/>
    </row>
    <row r="24" spans="1:30" ht="18">
      <c r="A24" s="76">
        <f t="shared" si="2"/>
        <v>20</v>
      </c>
      <c r="B24" s="85">
        <v>3.64</v>
      </c>
      <c r="C24" s="86">
        <f t="shared" si="0"/>
        <v>1911</v>
      </c>
      <c r="D24" s="86">
        <f t="shared" si="1"/>
        <v>1983.8</v>
      </c>
      <c r="E24" s="86">
        <f t="shared" si="3"/>
        <v>1983.8</v>
      </c>
      <c r="F24" s="86">
        <f t="shared" si="4"/>
        <v>1983.8</v>
      </c>
      <c r="G24" s="86">
        <f t="shared" si="5"/>
        <v>1983.8</v>
      </c>
      <c r="H24" s="86">
        <f t="shared" si="6"/>
        <v>1983.8</v>
      </c>
      <c r="I24" s="86">
        <f t="shared" si="8"/>
        <v>1983.8</v>
      </c>
      <c r="J24" s="86">
        <f t="shared" si="9"/>
        <v>1983.8</v>
      </c>
      <c r="K24" s="86">
        <f t="shared" si="17"/>
        <v>2020.2</v>
      </c>
      <c r="L24" s="86">
        <f t="shared" si="18"/>
        <v>2063.88</v>
      </c>
      <c r="M24" s="86">
        <f t="shared" si="19"/>
        <v>2074.8</v>
      </c>
      <c r="N24" s="86">
        <f t="shared" si="20"/>
        <v>2133.04</v>
      </c>
      <c r="O24" s="81">
        <f t="shared" si="10"/>
        <v>2231.32</v>
      </c>
      <c r="P24" s="81">
        <f t="shared" si="11"/>
        <v>2275</v>
      </c>
      <c r="Q24" s="89">
        <f t="shared" si="21"/>
        <v>2311.4</v>
      </c>
      <c r="R24" s="89">
        <v>2333</v>
      </c>
      <c r="S24" s="89">
        <v>2563</v>
      </c>
      <c r="T24" s="84">
        <v>2814</v>
      </c>
      <c r="U24" s="91">
        <f t="shared" si="12"/>
        <v>2890.1600000000003</v>
      </c>
      <c r="V24" s="90">
        <f t="shared" si="13"/>
        <v>2919.28</v>
      </c>
      <c r="W24" s="90">
        <f t="shared" si="14"/>
        <v>2937.48</v>
      </c>
      <c r="X24" s="90">
        <f t="shared" si="15"/>
        <v>2995.7200000000003</v>
      </c>
      <c r="Y24" s="90">
        <f t="shared" si="16"/>
        <v>3053.96</v>
      </c>
      <c r="Z24" s="94">
        <v>3101</v>
      </c>
      <c r="AA24" s="94">
        <v>3101</v>
      </c>
      <c r="AB24" s="12"/>
      <c r="AC24" s="12"/>
      <c r="AD24" s="12"/>
    </row>
    <row r="25" spans="1:30" ht="18">
      <c r="A25" s="76">
        <f t="shared" si="2"/>
        <v>21</v>
      </c>
      <c r="B25" s="85">
        <v>3.85</v>
      </c>
      <c r="C25" s="86">
        <f t="shared" si="0"/>
        <v>2021.25</v>
      </c>
      <c r="D25" s="86">
        <f t="shared" si="1"/>
        <v>2098.25</v>
      </c>
      <c r="E25" s="86">
        <f t="shared" si="3"/>
        <v>2098.25</v>
      </c>
      <c r="F25" s="86">
        <f t="shared" si="4"/>
        <v>2098.25</v>
      </c>
      <c r="G25" s="86">
        <f t="shared" si="5"/>
        <v>2098.25</v>
      </c>
      <c r="H25" s="86">
        <f t="shared" si="6"/>
        <v>2098.25</v>
      </c>
      <c r="I25" s="86">
        <f t="shared" si="8"/>
        <v>2098.25</v>
      </c>
      <c r="J25" s="86">
        <f t="shared" si="9"/>
        <v>2098.25</v>
      </c>
      <c r="K25" s="86">
        <f t="shared" si="17"/>
        <v>2136.75</v>
      </c>
      <c r="L25" s="86">
        <f t="shared" si="18"/>
        <v>2182.9500000000003</v>
      </c>
      <c r="M25" s="86">
        <f t="shared" si="19"/>
        <v>2194.5</v>
      </c>
      <c r="N25" s="86">
        <f t="shared" si="20"/>
        <v>2256.1</v>
      </c>
      <c r="O25" s="81">
        <f t="shared" si="10"/>
        <v>2360.05</v>
      </c>
      <c r="P25" s="81">
        <f t="shared" si="11"/>
        <v>2406.25</v>
      </c>
      <c r="Q25" s="89">
        <f t="shared" si="21"/>
        <v>2444.75</v>
      </c>
      <c r="R25" s="89">
        <v>2468</v>
      </c>
      <c r="S25" s="89">
        <v>2710</v>
      </c>
      <c r="T25" s="84">
        <v>2976</v>
      </c>
      <c r="U25" s="91">
        <f>794*B25</f>
        <v>3056.9</v>
      </c>
      <c r="V25" s="90">
        <f>802*B25</f>
        <v>3087.7000000000003</v>
      </c>
      <c r="W25" s="90">
        <f>807*B25</f>
        <v>3106.9500000000003</v>
      </c>
      <c r="X25" s="90">
        <f>823*B25</f>
        <v>3168.55</v>
      </c>
      <c r="Y25" s="90">
        <f>839*B25</f>
        <v>3230.15</v>
      </c>
      <c r="Z25" s="94">
        <v>3280</v>
      </c>
      <c r="AA25" s="94">
        <v>3280</v>
      </c>
      <c r="AB25" s="12"/>
      <c r="AC25" s="12"/>
      <c r="AD25" s="12"/>
    </row>
    <row r="26" spans="1:30" ht="18">
      <c r="A26" s="76">
        <f t="shared" si="2"/>
        <v>22</v>
      </c>
      <c r="B26" s="85">
        <v>4.06</v>
      </c>
      <c r="C26" s="86">
        <f t="shared" si="0"/>
        <v>2131.5</v>
      </c>
      <c r="D26" s="86">
        <f t="shared" si="1"/>
        <v>2212.7</v>
      </c>
      <c r="E26" s="86">
        <f t="shared" si="3"/>
        <v>2212.7</v>
      </c>
      <c r="F26" s="86">
        <f t="shared" si="4"/>
        <v>2212.7</v>
      </c>
      <c r="G26" s="86">
        <f t="shared" si="5"/>
        <v>2212.7</v>
      </c>
      <c r="H26" s="86">
        <f t="shared" si="6"/>
        <v>2212.7</v>
      </c>
      <c r="I26" s="86">
        <f t="shared" si="8"/>
        <v>2212.7</v>
      </c>
      <c r="J26" s="86">
        <f t="shared" si="9"/>
        <v>2212.7</v>
      </c>
      <c r="K26" s="86">
        <f t="shared" si="17"/>
        <v>2253.2999999999997</v>
      </c>
      <c r="L26" s="86">
        <f t="shared" si="18"/>
        <v>2302.02</v>
      </c>
      <c r="M26" s="86">
        <f t="shared" si="19"/>
        <v>2314.2</v>
      </c>
      <c r="N26" s="86">
        <f t="shared" si="20"/>
        <v>2379.16</v>
      </c>
      <c r="O26" s="81">
        <f t="shared" si="10"/>
        <v>2488.7799999999997</v>
      </c>
      <c r="P26" s="81">
        <f t="shared" si="11"/>
        <v>2537.4999999999995</v>
      </c>
      <c r="Q26" s="89">
        <f t="shared" si="21"/>
        <v>2578.1</v>
      </c>
      <c r="R26" s="89">
        <v>2602</v>
      </c>
      <c r="S26" s="89">
        <v>2858</v>
      </c>
      <c r="T26" s="84">
        <v>3138</v>
      </c>
      <c r="U26" s="91">
        <f t="shared" si="12"/>
        <v>3223.64</v>
      </c>
      <c r="V26" s="90">
        <f t="shared" si="13"/>
        <v>3256.12</v>
      </c>
      <c r="W26" s="90">
        <f t="shared" si="14"/>
        <v>3276.4199999999996</v>
      </c>
      <c r="X26" s="90">
        <f t="shared" si="15"/>
        <v>3341.3799999999997</v>
      </c>
      <c r="Y26" s="90">
        <f t="shared" si="16"/>
        <v>3406.3399999999997</v>
      </c>
      <c r="Z26" s="94">
        <v>3459</v>
      </c>
      <c r="AA26" s="94">
        <v>3459</v>
      </c>
      <c r="AB26" s="12"/>
      <c r="AC26" s="12"/>
      <c r="AD26" s="12"/>
    </row>
    <row r="27" spans="1:30" ht="18">
      <c r="A27" s="76">
        <f t="shared" si="2"/>
        <v>23</v>
      </c>
      <c r="B27" s="85">
        <v>4.27</v>
      </c>
      <c r="C27" s="86">
        <f t="shared" si="0"/>
        <v>2241.75</v>
      </c>
      <c r="D27" s="86">
        <f t="shared" si="1"/>
        <v>2327.1499999999996</v>
      </c>
      <c r="E27" s="86">
        <f t="shared" si="3"/>
        <v>2327.1499999999996</v>
      </c>
      <c r="F27" s="86">
        <f t="shared" si="4"/>
        <v>2327.1499999999996</v>
      </c>
      <c r="G27" s="86">
        <f t="shared" si="5"/>
        <v>2327.1499999999996</v>
      </c>
      <c r="H27" s="86">
        <f t="shared" si="6"/>
        <v>2327.1499999999996</v>
      </c>
      <c r="I27" s="86">
        <f t="shared" si="8"/>
        <v>2327.1499999999996</v>
      </c>
      <c r="J27" s="86">
        <f t="shared" si="9"/>
        <v>2327.1499999999996</v>
      </c>
      <c r="K27" s="86">
        <f t="shared" si="17"/>
        <v>2369.85</v>
      </c>
      <c r="L27" s="86">
        <f t="shared" si="18"/>
        <v>2421.0899999999997</v>
      </c>
      <c r="M27" s="86">
        <f t="shared" si="19"/>
        <v>2433.8999999999996</v>
      </c>
      <c r="N27" s="86">
        <f t="shared" si="20"/>
        <v>2502.22</v>
      </c>
      <c r="O27" s="81">
        <f t="shared" si="10"/>
        <v>2617.5099999999998</v>
      </c>
      <c r="P27" s="81">
        <f t="shared" si="11"/>
        <v>2668.7499999999995</v>
      </c>
      <c r="Q27" s="89">
        <f t="shared" si="21"/>
        <v>2711.45</v>
      </c>
      <c r="R27" s="89">
        <v>2737</v>
      </c>
      <c r="S27" s="89">
        <v>3006</v>
      </c>
      <c r="T27" s="84">
        <v>3301</v>
      </c>
      <c r="U27" s="91">
        <f t="shared" si="12"/>
        <v>3390.3799999999997</v>
      </c>
      <c r="V27" s="90">
        <f t="shared" si="13"/>
        <v>3424.5399999999995</v>
      </c>
      <c r="W27" s="90">
        <f t="shared" si="14"/>
        <v>3445.89</v>
      </c>
      <c r="X27" s="90">
        <f t="shared" si="15"/>
        <v>3514.2099999999996</v>
      </c>
      <c r="Y27" s="90">
        <f t="shared" si="16"/>
        <v>3582.5299999999997</v>
      </c>
      <c r="Z27" s="94">
        <v>3638</v>
      </c>
      <c r="AA27" s="94">
        <v>3638</v>
      </c>
      <c r="AB27" s="12"/>
      <c r="AC27" s="12"/>
      <c r="AD27" s="12"/>
    </row>
    <row r="28" spans="1:30" ht="18">
      <c r="A28" s="76">
        <f t="shared" si="2"/>
        <v>24</v>
      </c>
      <c r="B28" s="85">
        <v>4.36</v>
      </c>
      <c r="C28" s="86">
        <f t="shared" si="0"/>
        <v>2289</v>
      </c>
      <c r="D28" s="86">
        <f t="shared" si="1"/>
        <v>2376.2000000000003</v>
      </c>
      <c r="E28" s="86">
        <f t="shared" si="3"/>
        <v>2376.2000000000003</v>
      </c>
      <c r="F28" s="86">
        <f t="shared" si="4"/>
        <v>2376.2000000000003</v>
      </c>
      <c r="G28" s="86">
        <f t="shared" si="5"/>
        <v>2376.2000000000003</v>
      </c>
      <c r="H28" s="86">
        <f t="shared" si="6"/>
        <v>2376.2000000000003</v>
      </c>
      <c r="I28" s="86">
        <f t="shared" si="8"/>
        <v>2376.2000000000003</v>
      </c>
      <c r="J28" s="86">
        <f t="shared" si="9"/>
        <v>2376.2000000000003</v>
      </c>
      <c r="K28" s="86">
        <f t="shared" si="17"/>
        <v>2419.8</v>
      </c>
      <c r="L28" s="86">
        <f t="shared" si="18"/>
        <v>2472.1200000000003</v>
      </c>
      <c r="M28" s="86">
        <f t="shared" si="19"/>
        <v>2485.2000000000003</v>
      </c>
      <c r="N28" s="86">
        <f t="shared" si="20"/>
        <v>2554.96</v>
      </c>
      <c r="O28" s="81">
        <f t="shared" si="10"/>
        <v>2672.6800000000003</v>
      </c>
      <c r="P28" s="81">
        <f t="shared" si="11"/>
        <v>2725</v>
      </c>
      <c r="Q28" s="89">
        <f t="shared" si="21"/>
        <v>2768.6000000000004</v>
      </c>
      <c r="R28" s="89">
        <v>2795</v>
      </c>
      <c r="S28" s="89">
        <v>3069</v>
      </c>
      <c r="T28" s="84">
        <v>3370</v>
      </c>
      <c r="U28" s="91">
        <f t="shared" si="12"/>
        <v>3461.84</v>
      </c>
      <c r="V28" s="90">
        <f t="shared" si="13"/>
        <v>3496.7200000000003</v>
      </c>
      <c r="W28" s="90">
        <f>807*B28</f>
        <v>3518.5200000000004</v>
      </c>
      <c r="X28" s="90">
        <f t="shared" si="15"/>
        <v>3588.28</v>
      </c>
      <c r="Y28" s="90">
        <f t="shared" si="16"/>
        <v>3658.0400000000004</v>
      </c>
      <c r="Z28" s="94">
        <v>3715</v>
      </c>
      <c r="AA28" s="94">
        <v>3715</v>
      </c>
      <c r="AB28" s="12"/>
      <c r="AC28" s="12"/>
      <c r="AD28" s="12"/>
    </row>
    <row r="29" spans="1:30" ht="18">
      <c r="A29" s="76">
        <f t="shared" si="2"/>
        <v>25</v>
      </c>
      <c r="B29" s="85">
        <v>4.51</v>
      </c>
      <c r="C29" s="86">
        <f t="shared" si="0"/>
        <v>2367.75</v>
      </c>
      <c r="D29" s="86">
        <f t="shared" si="1"/>
        <v>2457.95</v>
      </c>
      <c r="E29" s="86">
        <f t="shared" si="3"/>
        <v>2457.95</v>
      </c>
      <c r="F29" s="86">
        <f t="shared" si="4"/>
        <v>2457.95</v>
      </c>
      <c r="G29" s="86">
        <f t="shared" si="5"/>
        <v>2457.95</v>
      </c>
      <c r="H29" s="86">
        <f t="shared" si="6"/>
        <v>2457.95</v>
      </c>
      <c r="I29" s="86">
        <f t="shared" si="8"/>
        <v>2457.95</v>
      </c>
      <c r="J29" s="86">
        <f t="shared" si="9"/>
        <v>2457.95</v>
      </c>
      <c r="K29" s="86">
        <f t="shared" si="17"/>
        <v>2503.0499999999997</v>
      </c>
      <c r="L29" s="86">
        <f t="shared" si="18"/>
        <v>2557.17</v>
      </c>
      <c r="M29" s="86">
        <f t="shared" si="19"/>
        <v>2570.7</v>
      </c>
      <c r="N29" s="86">
        <f t="shared" si="20"/>
        <v>2642.8599999999997</v>
      </c>
      <c r="O29" s="81">
        <f t="shared" si="10"/>
        <v>2764.6299999999997</v>
      </c>
      <c r="P29" s="81">
        <f t="shared" si="11"/>
        <v>2818.75</v>
      </c>
      <c r="Q29" s="89">
        <f t="shared" si="21"/>
        <v>2863.85</v>
      </c>
      <c r="R29" s="89">
        <v>2891</v>
      </c>
      <c r="S29" s="89">
        <v>3175</v>
      </c>
      <c r="T29" s="84">
        <v>3486</v>
      </c>
      <c r="U29" s="91">
        <f t="shared" si="12"/>
        <v>3580.94</v>
      </c>
      <c r="V29" s="90">
        <f>802*B29</f>
        <v>3617.02</v>
      </c>
      <c r="W29" s="90">
        <f t="shared" si="14"/>
        <v>3639.5699999999997</v>
      </c>
      <c r="X29" s="90">
        <f>823*B29</f>
        <v>3711.73</v>
      </c>
      <c r="Y29" s="90">
        <f t="shared" si="16"/>
        <v>3783.89</v>
      </c>
      <c r="Z29" s="94">
        <v>3843</v>
      </c>
      <c r="AA29" s="94">
        <v>3843</v>
      </c>
      <c r="AB29" s="12"/>
      <c r="AC29" s="12"/>
      <c r="AD29" s="12"/>
    </row>
    <row r="30" spans="1:30" ht="18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82"/>
      <c r="P30" s="82"/>
      <c r="Q30" s="82"/>
      <c r="R30" s="82"/>
      <c r="S30" s="78"/>
      <c r="T30" s="84"/>
      <c r="U30" s="83"/>
      <c r="V30" s="83"/>
      <c r="W30" s="83"/>
      <c r="X30" s="83"/>
      <c r="Y30" s="83"/>
      <c r="Z30" s="94"/>
      <c r="AA30" s="83"/>
      <c r="AC30" s="12"/>
      <c r="AD30" s="12"/>
    </row>
    <row r="31" spans="1:30" ht="38.25" customHeight="1">
      <c r="A31" s="151" t="s">
        <v>423</v>
      </c>
      <c r="B31" s="151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92">
        <f>2673*0.9</f>
        <v>2405.7000000000003</v>
      </c>
      <c r="P31" s="92">
        <f>2725*0.9</f>
        <v>2452.5</v>
      </c>
      <c r="Q31" s="92">
        <f>2769*0.9</f>
        <v>2492.1</v>
      </c>
      <c r="R31" s="92">
        <f>2795*0.9</f>
        <v>2515.5</v>
      </c>
      <c r="S31" s="92">
        <v>2762</v>
      </c>
      <c r="T31" s="84">
        <v>3033</v>
      </c>
      <c r="U31" s="93">
        <f aca="true" t="shared" si="22" ref="U31:Z31">U28*0.9</f>
        <v>3115.6560000000004</v>
      </c>
      <c r="V31" s="93">
        <f t="shared" si="22"/>
        <v>3147.0480000000002</v>
      </c>
      <c r="W31" s="93">
        <f t="shared" si="22"/>
        <v>3166.6680000000006</v>
      </c>
      <c r="X31" s="93">
        <f t="shared" si="22"/>
        <v>3229.452</v>
      </c>
      <c r="Y31" s="93">
        <f t="shared" si="22"/>
        <v>3292.2360000000003</v>
      </c>
      <c r="Z31" s="93">
        <f t="shared" si="22"/>
        <v>3343.5</v>
      </c>
      <c r="AA31" s="93">
        <f>AA28*0.9</f>
        <v>3343.5</v>
      </c>
      <c r="AC31" s="12"/>
      <c r="AD31" s="12"/>
    </row>
    <row r="32" spans="1:30" ht="18">
      <c r="A32" s="76" t="s">
        <v>310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81">
        <f>2406*0.95</f>
        <v>2285.7</v>
      </c>
      <c r="P32" s="81">
        <f>2453*0.95</f>
        <v>2330.35</v>
      </c>
      <c r="Q32" s="81">
        <f>2492*0.95</f>
        <v>2367.4</v>
      </c>
      <c r="R32" s="81">
        <f>2516*0.95</f>
        <v>2390.2</v>
      </c>
      <c r="S32" s="81">
        <v>2624</v>
      </c>
      <c r="T32" s="84">
        <v>2881</v>
      </c>
      <c r="U32" s="94">
        <f>U31*0.95</f>
        <v>2959.8732000000005</v>
      </c>
      <c r="V32" s="94">
        <f>V31*0.95</f>
        <v>2989.6956</v>
      </c>
      <c r="W32" s="94">
        <f>W31*0.95</f>
        <v>3008.3346000000006</v>
      </c>
      <c r="X32" s="94">
        <f>X31*0.95</f>
        <v>3067.9794</v>
      </c>
      <c r="Y32" s="94">
        <v>3127</v>
      </c>
      <c r="Z32" s="94">
        <f>3344*0.95</f>
        <v>3176.7999999999997</v>
      </c>
      <c r="AA32" s="94">
        <f>3344*0.95</f>
        <v>3176.7999999999997</v>
      </c>
      <c r="AC32" s="12"/>
      <c r="AD32" s="12"/>
    </row>
    <row r="33" spans="1:30" ht="18">
      <c r="A33" s="76" t="s">
        <v>311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81">
        <f>O28*0.7</f>
        <v>1870.876</v>
      </c>
      <c r="P33" s="81">
        <f aca="true" t="shared" si="23" ref="P33:Y33">P28*0.7</f>
        <v>1907.4999999999998</v>
      </c>
      <c r="Q33" s="81">
        <f t="shared" si="23"/>
        <v>1938.0200000000002</v>
      </c>
      <c r="R33" s="81">
        <f t="shared" si="23"/>
        <v>1956.4999999999998</v>
      </c>
      <c r="S33" s="81">
        <f t="shared" si="23"/>
        <v>2148.2999999999997</v>
      </c>
      <c r="T33" s="95">
        <f>T28*0.7</f>
        <v>2359</v>
      </c>
      <c r="U33" s="81">
        <f t="shared" si="23"/>
        <v>2423.288</v>
      </c>
      <c r="V33" s="81">
        <f t="shared" si="23"/>
        <v>2447.704</v>
      </c>
      <c r="W33" s="81">
        <f t="shared" si="23"/>
        <v>2462.964</v>
      </c>
      <c r="X33" s="81">
        <f t="shared" si="23"/>
        <v>2511.796</v>
      </c>
      <c r="Y33" s="81">
        <f t="shared" si="23"/>
        <v>2560.628</v>
      </c>
      <c r="Z33" s="95">
        <f>Z28*0.7</f>
        <v>2600.5</v>
      </c>
      <c r="AA33" s="95">
        <f>AA28*0.7</f>
        <v>2600.5</v>
      </c>
      <c r="AC33" s="12"/>
      <c r="AD33" s="12"/>
    </row>
    <row r="34" spans="1:30" ht="18">
      <c r="A34" s="76" t="s">
        <v>312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81">
        <f>O31*0.65</f>
        <v>1563.7050000000002</v>
      </c>
      <c r="P34" s="81">
        <f>P31*0.65</f>
        <v>1594.125</v>
      </c>
      <c r="Q34" s="81">
        <f>Q31*0.65</f>
        <v>1619.865</v>
      </c>
      <c r="R34" s="81">
        <f>R31*0.65</f>
        <v>1635.075</v>
      </c>
      <c r="S34" s="81">
        <f>S31*0.65</f>
        <v>1795.3</v>
      </c>
      <c r="T34" s="84">
        <v>1971</v>
      </c>
      <c r="U34" s="81">
        <f>3116*0.65</f>
        <v>2025.4</v>
      </c>
      <c r="V34" s="81">
        <f>3147*0.65</f>
        <v>2045.5500000000002</v>
      </c>
      <c r="W34" s="81">
        <f>3167*0.65</f>
        <v>2058.55</v>
      </c>
      <c r="X34" s="81">
        <f>3229*0.65</f>
        <v>2098.85</v>
      </c>
      <c r="Y34" s="81">
        <f>3292*0.65</f>
        <v>2139.8</v>
      </c>
      <c r="Z34" s="81">
        <f>3344*0.65</f>
        <v>2173.6</v>
      </c>
      <c r="AA34" s="81">
        <f>3344*0.65</f>
        <v>2173.6</v>
      </c>
      <c r="AC34" s="12"/>
      <c r="AD34" s="12"/>
    </row>
    <row r="35" spans="1:30" ht="18">
      <c r="A35" s="76" t="s">
        <v>313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81">
        <f>O16*0.95</f>
        <v>1234.582</v>
      </c>
      <c r="P35" s="81">
        <f>P16*0.95</f>
        <v>1258.75</v>
      </c>
      <c r="Q35" s="81">
        <f>Q16*0.95</f>
        <v>1278.8899999999999</v>
      </c>
      <c r="R35" s="81">
        <f>R16*0.95</f>
        <v>1291.05</v>
      </c>
      <c r="S35" s="81">
        <f>S16*0.95</f>
        <v>1417.3999999999999</v>
      </c>
      <c r="T35" s="81">
        <f>1639*0.95</f>
        <v>1557.05</v>
      </c>
      <c r="U35" s="81">
        <f>1683*0.95</f>
        <v>1598.85</v>
      </c>
      <c r="V35" s="81">
        <f>1700*0.95</f>
        <v>1615</v>
      </c>
      <c r="W35" s="81">
        <f>1711*0.95</f>
        <v>1625.4499999999998</v>
      </c>
      <c r="X35" s="81">
        <f>1745*0.95</f>
        <v>1657.75</v>
      </c>
      <c r="Y35" s="81">
        <f>1779*0.95</f>
        <v>1690.05</v>
      </c>
      <c r="Z35" s="81">
        <f>1806*0.95</f>
        <v>1715.6999999999998</v>
      </c>
      <c r="AA35" s="81">
        <f>1806*0.95</f>
        <v>1715.6999999999998</v>
      </c>
      <c r="AC35" s="12"/>
      <c r="AD35" s="12"/>
    </row>
    <row r="36" spans="1:30" ht="18">
      <c r="A36" s="76" t="s">
        <v>314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81">
        <f>(O15+O16)/2</f>
        <v>1253.585</v>
      </c>
      <c r="P36" s="81">
        <f>(P15+P16)/2</f>
        <v>1278.125</v>
      </c>
      <c r="Q36" s="81">
        <f>(Q15+Q16)/2</f>
        <v>1298.575</v>
      </c>
      <c r="R36" s="81">
        <f>(R15+R16)/2</f>
        <v>1311</v>
      </c>
      <c r="S36" s="81">
        <f>(S15+S16)/2</f>
        <v>1439.5</v>
      </c>
      <c r="T36" s="84">
        <v>1581</v>
      </c>
      <c r="U36" s="81">
        <f aca="true" t="shared" si="24" ref="U36:Z36">(U15+U16)/2</f>
        <v>1623.73</v>
      </c>
      <c r="V36" s="81">
        <f t="shared" si="24"/>
        <v>1640.0900000000001</v>
      </c>
      <c r="W36" s="81">
        <f t="shared" si="24"/>
        <v>1650.315</v>
      </c>
      <c r="X36" s="81">
        <f t="shared" si="24"/>
        <v>1683.0349999999999</v>
      </c>
      <c r="Y36" s="81">
        <f t="shared" si="24"/>
        <v>1715.755</v>
      </c>
      <c r="Z36" s="95">
        <f t="shared" si="24"/>
        <v>1742</v>
      </c>
      <c r="AA36" s="95">
        <f>(AA15+AA16)/2</f>
        <v>1742</v>
      </c>
      <c r="AC36" s="12"/>
      <c r="AD36" s="12"/>
    </row>
    <row r="37" spans="1:30" ht="18">
      <c r="A37" s="76" t="s">
        <v>315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81">
        <f>O15*0.95</f>
        <v>1147.2295</v>
      </c>
      <c r="P37" s="81">
        <f>P15*0.95</f>
        <v>1169.6875</v>
      </c>
      <c r="Q37" s="81">
        <f>Q15*0.95</f>
        <v>1188.4025</v>
      </c>
      <c r="R37" s="81">
        <f>R15*0.95</f>
        <v>1199.85</v>
      </c>
      <c r="S37" s="81">
        <f>S15*0.95</f>
        <v>1317.6499999999999</v>
      </c>
      <c r="T37" s="84">
        <v>1447</v>
      </c>
      <c r="U37" s="81">
        <f aca="true" t="shared" si="25" ref="U37:Z37">U15*0.95</f>
        <v>1485.971</v>
      </c>
      <c r="V37" s="81">
        <f t="shared" si="25"/>
        <v>1500.943</v>
      </c>
      <c r="W37" s="81">
        <f t="shared" si="25"/>
        <v>1510.3004999999998</v>
      </c>
      <c r="X37" s="81">
        <f t="shared" si="25"/>
        <v>1540.2444999999998</v>
      </c>
      <c r="Y37" s="81">
        <f t="shared" si="25"/>
        <v>1570.1884999999997</v>
      </c>
      <c r="Z37" s="95">
        <f t="shared" si="25"/>
        <v>1594.1</v>
      </c>
      <c r="AA37" s="95">
        <f>AA15*0.95</f>
        <v>1594.1</v>
      </c>
      <c r="AC37" s="12"/>
      <c r="AD37" s="12"/>
    </row>
    <row r="38" spans="1:30" ht="18">
      <c r="A38" s="76" t="s">
        <v>349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1">
        <f>O5</f>
        <v>941</v>
      </c>
      <c r="P38" s="81">
        <f>P5</f>
        <v>960</v>
      </c>
      <c r="Q38" s="81">
        <f>Q5</f>
        <v>960</v>
      </c>
      <c r="R38" s="81">
        <f>R5</f>
        <v>960</v>
      </c>
      <c r="S38" s="95">
        <f>S13*0.85</f>
        <v>1035.3</v>
      </c>
      <c r="T38" s="84">
        <v>1136</v>
      </c>
      <c r="U38" s="95">
        <f aca="true" t="shared" si="26" ref="U38:Z38">U13*0.85</f>
        <v>1167.5769999999998</v>
      </c>
      <c r="V38" s="95">
        <f t="shared" si="26"/>
        <v>1179.341</v>
      </c>
      <c r="W38" s="95">
        <f t="shared" si="26"/>
        <v>1186.6934999999999</v>
      </c>
      <c r="X38" s="95">
        <f t="shared" si="26"/>
        <v>1210.2214999999999</v>
      </c>
      <c r="Y38" s="95">
        <f t="shared" si="26"/>
        <v>1233.7495</v>
      </c>
      <c r="Z38" s="95">
        <f t="shared" si="26"/>
        <v>1252.8999999999999</v>
      </c>
      <c r="AA38" s="95">
        <f>AA13*0.85</f>
        <v>1252.8999999999999</v>
      </c>
      <c r="AC38" s="12"/>
      <c r="AD38" s="12"/>
    </row>
    <row r="39" spans="1:30" ht="18">
      <c r="A39" s="150" t="s">
        <v>381</v>
      </c>
      <c r="B39" s="150"/>
      <c r="S39" s="94">
        <f>S17*0.95</f>
        <v>1518.1</v>
      </c>
      <c r="T39" s="94">
        <f>T17*0.95</f>
        <v>1667.25</v>
      </c>
      <c r="U39" s="94">
        <f aca="true" t="shared" si="27" ref="U39:Z39">U17*0.95</f>
        <v>1712.261</v>
      </c>
      <c r="V39" s="94">
        <f t="shared" si="27"/>
        <v>1729.513</v>
      </c>
      <c r="W39" s="94">
        <f t="shared" si="27"/>
        <v>1740.2955</v>
      </c>
      <c r="X39" s="94">
        <f t="shared" si="27"/>
        <v>1774.7994999999999</v>
      </c>
      <c r="Y39" s="94">
        <f t="shared" si="27"/>
        <v>1809.3035</v>
      </c>
      <c r="Z39" s="94">
        <f t="shared" si="27"/>
        <v>1837.3</v>
      </c>
      <c r="AA39" s="94">
        <f>AA17*0.95</f>
        <v>1837.3</v>
      </c>
      <c r="AC39" s="12"/>
      <c r="AD39" s="12"/>
    </row>
    <row r="40" spans="1:30" ht="18">
      <c r="A40" s="110" t="s">
        <v>410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78">
        <f>1407*0.95</f>
        <v>1336.6499999999999</v>
      </c>
      <c r="U40" s="78">
        <f>1445*0.95</f>
        <v>1372.75</v>
      </c>
      <c r="V40" s="78">
        <f>1460*0.95</f>
        <v>1387</v>
      </c>
      <c r="W40" s="111">
        <f>1469*0.95</f>
        <v>1395.55</v>
      </c>
      <c r="X40" s="111">
        <f>1498*0.95</f>
        <v>1423.1</v>
      </c>
      <c r="Y40" s="111">
        <f>1527*0.95</f>
        <v>1450.6499999999999</v>
      </c>
      <c r="Z40" s="111">
        <f>1551*0.95</f>
        <v>1473.4499999999998</v>
      </c>
      <c r="AA40" s="111">
        <f>1551*0.95</f>
        <v>1473.4499999999998</v>
      </c>
      <c r="AC40" s="12"/>
      <c r="AD40" s="12"/>
    </row>
    <row r="45" ht="12.75">
      <c r="T45" s="12"/>
    </row>
    <row r="46" ht="12.75">
      <c r="T46" s="12"/>
    </row>
    <row r="47" ht="12.75">
      <c r="T47" s="12"/>
    </row>
    <row r="48" ht="12.75">
      <c r="T48" s="12"/>
    </row>
    <row r="49" ht="12.75">
      <c r="T49" s="12"/>
    </row>
    <row r="453" spans="2:5" ht="12.75">
      <c r="B453" s="6" t="s">
        <v>411</v>
      </c>
      <c r="D453">
        <v>9</v>
      </c>
      <c r="E453">
        <v>1451</v>
      </c>
    </row>
    <row r="489" ht="12.75">
      <c r="C489">
        <f>49.75-1.75</f>
        <v>48</v>
      </c>
    </row>
    <row r="494" ht="12.75">
      <c r="C494" s="13"/>
    </row>
    <row r="709" ht="12.75">
      <c r="C709">
        <f>6.75+1.75</f>
        <v>8.5</v>
      </c>
    </row>
  </sheetData>
  <sheetProtection/>
  <mergeCells count="8">
    <mergeCell ref="Z1:AA1"/>
    <mergeCell ref="K1:M1"/>
    <mergeCell ref="O1:S1"/>
    <mergeCell ref="T1:Y1"/>
    <mergeCell ref="A39:B39"/>
    <mergeCell ref="A31:B31"/>
    <mergeCell ref="B1:E1"/>
    <mergeCell ref="F1:J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08"/>
  <sheetViews>
    <sheetView view="pageBreakPreview" zoomScale="75" zoomScaleNormal="75" zoomScaleSheetLayoutView="75" zoomScalePageLayoutView="0" workbookViewId="0" topLeftCell="A11">
      <selection activeCell="AB8" sqref="AB8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4" width="11.7109375" style="0" hidden="1" customWidth="1"/>
    <col min="5" max="5" width="10.57421875" style="0" hidden="1" customWidth="1"/>
    <col min="6" max="6" width="9.8515625" style="0" hidden="1" customWidth="1"/>
    <col min="7" max="7" width="9.00390625" style="0" hidden="1" customWidth="1"/>
    <col min="8" max="8" width="8.421875" style="0" hidden="1" customWidth="1"/>
    <col min="9" max="9" width="9.421875" style="0" hidden="1" customWidth="1"/>
    <col min="10" max="10" width="8.8515625" style="0" hidden="1" customWidth="1"/>
    <col min="11" max="11" width="9.7109375" style="0" hidden="1" customWidth="1"/>
    <col min="12" max="12" width="9.57421875" style="0" hidden="1" customWidth="1"/>
    <col min="13" max="13" width="7.57421875" style="0" hidden="1" customWidth="1"/>
    <col min="14" max="14" width="0" style="0" hidden="1" customWidth="1"/>
    <col min="15" max="15" width="8.8515625" style="0" hidden="1" customWidth="1"/>
    <col min="16" max="17" width="8.00390625" style="0" hidden="1" customWidth="1"/>
    <col min="18" max="20" width="10.421875" style="0" hidden="1" customWidth="1"/>
    <col min="21" max="23" width="9.7109375" style="0" customWidth="1"/>
    <col min="24" max="24" width="11.8515625" style="0" customWidth="1"/>
    <col min="25" max="25" width="12.421875" style="0" customWidth="1"/>
    <col min="26" max="26" width="12.00390625" style="0" customWidth="1"/>
    <col min="27" max="27" width="7.7109375" style="0" customWidth="1"/>
  </cols>
  <sheetData>
    <row r="1" spans="1:28" ht="77.25" customHeight="1">
      <c r="A1" s="155" t="s">
        <v>347</v>
      </c>
      <c r="B1" s="155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15"/>
      <c r="R1" s="115"/>
      <c r="S1" s="115"/>
      <c r="T1" s="115"/>
      <c r="U1" s="101">
        <v>1073</v>
      </c>
      <c r="V1" s="101">
        <v>1094</v>
      </c>
      <c r="W1" s="101">
        <v>1102</v>
      </c>
      <c r="X1" s="101"/>
      <c r="Y1" s="101">
        <v>1118</v>
      </c>
      <c r="Z1" s="101">
        <v>1134</v>
      </c>
      <c r="AA1" s="115"/>
      <c r="AB1" s="115"/>
    </row>
    <row r="2" spans="1:28" ht="29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15"/>
      <c r="R2" s="115"/>
      <c r="S2" s="115"/>
      <c r="T2" s="115"/>
      <c r="U2" s="101"/>
      <c r="V2" s="101"/>
      <c r="W2" s="101"/>
      <c r="X2" s="101"/>
      <c r="Y2" s="101"/>
      <c r="Z2" s="101"/>
      <c r="AA2" s="115"/>
      <c r="AB2" s="115"/>
    </row>
    <row r="3" spans="1:29" ht="15">
      <c r="A3" s="99"/>
      <c r="B3" s="156">
        <v>2008</v>
      </c>
      <c r="C3" s="156"/>
      <c r="D3" s="156"/>
      <c r="E3" s="156"/>
      <c r="F3" s="156">
        <v>2009</v>
      </c>
      <c r="G3" s="156"/>
      <c r="H3" s="156"/>
      <c r="I3" s="156"/>
      <c r="J3" s="156"/>
      <c r="K3" s="156">
        <v>2010</v>
      </c>
      <c r="L3" s="156"/>
      <c r="M3" s="156"/>
      <c r="N3" s="99"/>
      <c r="O3" s="99">
        <v>2011</v>
      </c>
      <c r="P3" s="99"/>
      <c r="Q3" s="99"/>
      <c r="R3" s="99"/>
      <c r="S3" s="99"/>
      <c r="T3" s="99"/>
      <c r="U3" s="154">
        <v>2012</v>
      </c>
      <c r="V3" s="154"/>
      <c r="W3" s="154"/>
      <c r="X3" s="154"/>
      <c r="Y3" s="154"/>
      <c r="Z3" s="154"/>
      <c r="AA3" s="154">
        <v>2013</v>
      </c>
      <c r="AB3" s="154"/>
      <c r="AC3" s="146">
        <v>2014</v>
      </c>
    </row>
    <row r="4" spans="1:29" ht="15">
      <c r="A4" s="99"/>
      <c r="B4" s="99" t="s">
        <v>248</v>
      </c>
      <c r="C4" s="99" t="s">
        <v>248</v>
      </c>
      <c r="D4" s="99" t="s">
        <v>241</v>
      </c>
      <c r="E4" s="99" t="s">
        <v>242</v>
      </c>
      <c r="F4" s="99" t="s">
        <v>238</v>
      </c>
      <c r="G4" s="99" t="s">
        <v>239</v>
      </c>
      <c r="H4" s="99" t="s">
        <v>240</v>
      </c>
      <c r="I4" s="99" t="s">
        <v>241</v>
      </c>
      <c r="J4" s="99" t="s">
        <v>270</v>
      </c>
      <c r="K4" s="99" t="s">
        <v>238</v>
      </c>
      <c r="L4" s="99" t="s">
        <v>239</v>
      </c>
      <c r="M4" s="99" t="s">
        <v>240</v>
      </c>
      <c r="N4" s="99" t="s">
        <v>241</v>
      </c>
      <c r="O4" s="99" t="s">
        <v>238</v>
      </c>
      <c r="P4" s="99" t="s">
        <v>239</v>
      </c>
      <c r="Q4" s="99" t="s">
        <v>240</v>
      </c>
      <c r="R4" s="99" t="s">
        <v>248</v>
      </c>
      <c r="S4" s="99" t="s">
        <v>241</v>
      </c>
      <c r="T4" s="99" t="s">
        <v>242</v>
      </c>
      <c r="U4" s="99" t="s">
        <v>238</v>
      </c>
      <c r="V4" s="99" t="s">
        <v>239</v>
      </c>
      <c r="W4" s="99" t="s">
        <v>240</v>
      </c>
      <c r="X4" s="99" t="s">
        <v>248</v>
      </c>
      <c r="Y4" s="99" t="s">
        <v>241</v>
      </c>
      <c r="Z4" s="99" t="s">
        <v>242</v>
      </c>
      <c r="AA4" s="99" t="s">
        <v>238</v>
      </c>
      <c r="AB4" s="103" t="s">
        <v>384</v>
      </c>
      <c r="AC4" s="103" t="s">
        <v>544</v>
      </c>
    </row>
    <row r="5" spans="1:28" ht="15">
      <c r="A5" s="99"/>
      <c r="B5" s="102" t="s">
        <v>243</v>
      </c>
      <c r="C5" s="99" t="s">
        <v>244</v>
      </c>
      <c r="D5" s="99" t="s">
        <v>244</v>
      </c>
      <c r="E5" s="99" t="s">
        <v>244</v>
      </c>
      <c r="F5" s="99" t="s">
        <v>244</v>
      </c>
      <c r="G5" s="99" t="s">
        <v>244</v>
      </c>
      <c r="H5" s="99" t="s">
        <v>244</v>
      </c>
      <c r="I5" s="99" t="s">
        <v>244</v>
      </c>
      <c r="J5" s="99" t="s">
        <v>244</v>
      </c>
      <c r="K5" s="99" t="s">
        <v>244</v>
      </c>
      <c r="L5" s="99" t="s">
        <v>244</v>
      </c>
      <c r="M5" s="99" t="s">
        <v>244</v>
      </c>
      <c r="N5" s="99" t="s">
        <v>244</v>
      </c>
      <c r="O5" s="99" t="s">
        <v>244</v>
      </c>
      <c r="P5" s="99" t="s">
        <v>244</v>
      </c>
      <c r="Q5" s="102" t="s">
        <v>348</v>
      </c>
      <c r="R5" s="102" t="s">
        <v>244</v>
      </c>
      <c r="S5" s="99" t="s">
        <v>244</v>
      </c>
      <c r="T5" s="99" t="s">
        <v>244</v>
      </c>
      <c r="U5" s="99" t="s">
        <v>244</v>
      </c>
      <c r="V5" s="99" t="s">
        <v>244</v>
      </c>
      <c r="W5" s="99" t="s">
        <v>244</v>
      </c>
      <c r="X5" s="99" t="s">
        <v>244</v>
      </c>
      <c r="Y5" s="99" t="s">
        <v>244</v>
      </c>
      <c r="Z5" s="99" t="s">
        <v>244</v>
      </c>
      <c r="AA5" s="103"/>
      <c r="AB5" s="101"/>
    </row>
    <row r="6" spans="1:28" ht="18">
      <c r="A6" s="99"/>
      <c r="B6" s="79"/>
      <c r="C6" s="77"/>
      <c r="D6" s="77">
        <v>545</v>
      </c>
      <c r="E6" s="77">
        <v>545</v>
      </c>
      <c r="F6" s="77">
        <v>545</v>
      </c>
      <c r="G6" s="77">
        <v>545</v>
      </c>
      <c r="H6" s="77">
        <v>545</v>
      </c>
      <c r="I6" s="77">
        <v>545</v>
      </c>
      <c r="J6" s="77">
        <v>545</v>
      </c>
      <c r="K6" s="77">
        <v>555</v>
      </c>
      <c r="L6" s="77">
        <v>567</v>
      </c>
      <c r="M6" s="77">
        <v>570</v>
      </c>
      <c r="N6" s="77">
        <v>586</v>
      </c>
      <c r="O6" s="95">
        <f>613</f>
        <v>613</v>
      </c>
      <c r="P6" s="77">
        <v>625</v>
      </c>
      <c r="Q6" s="77">
        <f>625+10</f>
        <v>635</v>
      </c>
      <c r="R6" s="77">
        <f>641</f>
        <v>641</v>
      </c>
      <c r="S6" s="77">
        <v>641</v>
      </c>
      <c r="T6" s="77">
        <v>654</v>
      </c>
      <c r="U6" s="83">
        <v>773</v>
      </c>
      <c r="V6" s="83">
        <v>794</v>
      </c>
      <c r="W6" s="84">
        <v>802</v>
      </c>
      <c r="X6" s="84">
        <v>807</v>
      </c>
      <c r="Y6" s="84">
        <v>823</v>
      </c>
      <c r="Z6" s="84">
        <v>839</v>
      </c>
      <c r="AA6" s="83">
        <v>852</v>
      </c>
      <c r="AB6" s="83">
        <v>852</v>
      </c>
    </row>
    <row r="7" spans="1:30" ht="18">
      <c r="A7" s="99">
        <v>1</v>
      </c>
      <c r="B7" s="142">
        <v>1</v>
      </c>
      <c r="C7" s="95">
        <f aca="true" t="shared" si="0" ref="C7:C31">525*B7</f>
        <v>525</v>
      </c>
      <c r="D7" s="95">
        <f aca="true" t="shared" si="1" ref="D7:D31">545*B7</f>
        <v>545</v>
      </c>
      <c r="E7" s="95">
        <v>605</v>
      </c>
      <c r="F7" s="95">
        <v>605</v>
      </c>
      <c r="G7" s="95">
        <v>625</v>
      </c>
      <c r="H7" s="95">
        <v>630</v>
      </c>
      <c r="I7" s="95">
        <v>650</v>
      </c>
      <c r="J7" s="95">
        <v>744</v>
      </c>
      <c r="K7" s="95">
        <v>869</v>
      </c>
      <c r="L7" s="95">
        <v>884</v>
      </c>
      <c r="M7" s="95">
        <v>888</v>
      </c>
      <c r="N7" s="95">
        <v>907</v>
      </c>
      <c r="O7" s="95">
        <v>941</v>
      </c>
      <c r="P7" s="88">
        <v>960</v>
      </c>
      <c r="Q7" s="88">
        <v>960</v>
      </c>
      <c r="R7" s="88">
        <v>960</v>
      </c>
      <c r="S7" s="88">
        <v>985</v>
      </c>
      <c r="T7" s="88">
        <v>1004</v>
      </c>
      <c r="U7" s="88">
        <v>1073</v>
      </c>
      <c r="V7" s="88">
        <v>1094</v>
      </c>
      <c r="W7" s="88">
        <v>1102</v>
      </c>
      <c r="X7" s="88">
        <v>1102</v>
      </c>
      <c r="Y7" s="88">
        <f>X7+Y6-X6</f>
        <v>1118</v>
      </c>
      <c r="Z7" s="88">
        <v>1134</v>
      </c>
      <c r="AA7" s="94">
        <v>1147</v>
      </c>
      <c r="AB7" s="83">
        <v>1218</v>
      </c>
      <c r="AC7" s="83">
        <v>1218</v>
      </c>
      <c r="AD7" s="107"/>
    </row>
    <row r="8" spans="1:30" ht="18">
      <c r="A8" s="99">
        <f aca="true" t="shared" si="2" ref="A8:A31">A7+1</f>
        <v>2</v>
      </c>
      <c r="B8" s="142">
        <v>1.09</v>
      </c>
      <c r="C8" s="95">
        <f t="shared" si="0"/>
        <v>572.25</v>
      </c>
      <c r="D8" s="95">
        <f t="shared" si="1"/>
        <v>594.0500000000001</v>
      </c>
      <c r="E8" s="95">
        <v>605</v>
      </c>
      <c r="F8" s="95">
        <v>605</v>
      </c>
      <c r="G8" s="95">
        <v>625</v>
      </c>
      <c r="H8" s="95">
        <v>630</v>
      </c>
      <c r="I8" s="95">
        <v>650</v>
      </c>
      <c r="J8" s="95">
        <v>744</v>
      </c>
      <c r="K8" s="95">
        <v>869</v>
      </c>
      <c r="L8" s="95">
        <v>884</v>
      </c>
      <c r="M8" s="95">
        <v>888</v>
      </c>
      <c r="N8" s="95">
        <v>907</v>
      </c>
      <c r="O8" s="95">
        <v>941</v>
      </c>
      <c r="P8" s="88">
        <v>960</v>
      </c>
      <c r="Q8" s="88">
        <v>965</v>
      </c>
      <c r="R8" s="91">
        <v>965</v>
      </c>
      <c r="S8" s="88">
        <v>985</v>
      </c>
      <c r="T8" s="88">
        <v>1004</v>
      </c>
      <c r="U8" s="88">
        <v>1078</v>
      </c>
      <c r="V8" s="88">
        <v>1099</v>
      </c>
      <c r="W8" s="90">
        <f>W7+5</f>
        <v>1107</v>
      </c>
      <c r="X8" s="90">
        <f>X7+5</f>
        <v>1107</v>
      </c>
      <c r="Y8" s="88">
        <f>Y7+5</f>
        <v>1123</v>
      </c>
      <c r="Z8" s="90">
        <v>1139</v>
      </c>
      <c r="AA8" s="94">
        <v>1152</v>
      </c>
      <c r="AB8" s="83">
        <v>1218</v>
      </c>
      <c r="AC8" s="83">
        <v>1223</v>
      </c>
      <c r="AD8" s="107"/>
    </row>
    <row r="9" spans="1:30" ht="18">
      <c r="A9" s="99">
        <f t="shared" si="2"/>
        <v>3</v>
      </c>
      <c r="B9" s="142">
        <v>1.18</v>
      </c>
      <c r="C9" s="95">
        <f t="shared" si="0"/>
        <v>619.5</v>
      </c>
      <c r="D9" s="95">
        <f t="shared" si="1"/>
        <v>643.1</v>
      </c>
      <c r="E9" s="95">
        <f aca="true" t="shared" si="3" ref="E9:E31">545*B9</f>
        <v>643.1</v>
      </c>
      <c r="F9" s="95">
        <f aca="true" t="shared" si="4" ref="F9:F31">545*B9</f>
        <v>643.1</v>
      </c>
      <c r="G9" s="95">
        <f aca="true" t="shared" si="5" ref="G9:G31">545*B9</f>
        <v>643.1</v>
      </c>
      <c r="H9" s="95">
        <f aca="true" t="shared" si="6" ref="H9:H31">545*B9</f>
        <v>643.1</v>
      </c>
      <c r="I9" s="95">
        <v>650</v>
      </c>
      <c r="J9" s="95">
        <v>744</v>
      </c>
      <c r="K9" s="95">
        <v>869</v>
      </c>
      <c r="L9" s="95">
        <v>884</v>
      </c>
      <c r="M9" s="95">
        <v>888</v>
      </c>
      <c r="N9" s="95">
        <v>907</v>
      </c>
      <c r="O9" s="95">
        <v>941</v>
      </c>
      <c r="P9" s="88">
        <v>960</v>
      </c>
      <c r="Q9" s="88">
        <v>975</v>
      </c>
      <c r="R9" s="91">
        <v>975</v>
      </c>
      <c r="S9" s="88">
        <v>985</v>
      </c>
      <c r="T9" s="88">
        <v>1004</v>
      </c>
      <c r="U9" s="88">
        <v>1088</v>
      </c>
      <c r="V9" s="88">
        <v>1109</v>
      </c>
      <c r="W9" s="90">
        <f aca="true" t="shared" si="7" ref="W9:X11">V9+W7-V7</f>
        <v>1117</v>
      </c>
      <c r="X9" s="90">
        <f t="shared" si="7"/>
        <v>1117</v>
      </c>
      <c r="Y9" s="91">
        <v>1133</v>
      </c>
      <c r="Z9" s="90">
        <v>1149</v>
      </c>
      <c r="AA9" s="94">
        <v>1162</v>
      </c>
      <c r="AB9" s="83">
        <v>1218</v>
      </c>
      <c r="AC9" s="83">
        <v>1233</v>
      </c>
      <c r="AD9" s="107"/>
    </row>
    <row r="10" spans="1:30" ht="18">
      <c r="A10" s="99">
        <f t="shared" si="2"/>
        <v>4</v>
      </c>
      <c r="B10" s="142">
        <v>1.27</v>
      </c>
      <c r="C10" s="95">
        <f t="shared" si="0"/>
        <v>666.75</v>
      </c>
      <c r="D10" s="95">
        <f t="shared" si="1"/>
        <v>692.15</v>
      </c>
      <c r="E10" s="95">
        <f t="shared" si="3"/>
        <v>692.15</v>
      </c>
      <c r="F10" s="95">
        <f t="shared" si="4"/>
        <v>692.15</v>
      </c>
      <c r="G10" s="95">
        <f t="shared" si="5"/>
        <v>692.15</v>
      </c>
      <c r="H10" s="95">
        <f t="shared" si="6"/>
        <v>692.15</v>
      </c>
      <c r="I10" s="95">
        <f aca="true" t="shared" si="8" ref="I10:I31">545*B10</f>
        <v>692.15</v>
      </c>
      <c r="J10" s="95">
        <v>744</v>
      </c>
      <c r="K10" s="95">
        <v>869</v>
      </c>
      <c r="L10" s="95">
        <v>884</v>
      </c>
      <c r="M10" s="95">
        <v>888</v>
      </c>
      <c r="N10" s="95">
        <v>907</v>
      </c>
      <c r="O10" s="95">
        <v>941</v>
      </c>
      <c r="P10" s="88">
        <v>960</v>
      </c>
      <c r="Q10" s="88">
        <v>985</v>
      </c>
      <c r="R10" s="91">
        <v>985</v>
      </c>
      <c r="S10" s="88">
        <v>985</v>
      </c>
      <c r="T10" s="88">
        <v>1004</v>
      </c>
      <c r="U10" s="88">
        <v>1098</v>
      </c>
      <c r="V10" s="88">
        <v>1119</v>
      </c>
      <c r="W10" s="90">
        <f t="shared" si="7"/>
        <v>1127</v>
      </c>
      <c r="X10" s="90">
        <f t="shared" si="7"/>
        <v>1127</v>
      </c>
      <c r="Y10" s="91">
        <v>1143</v>
      </c>
      <c r="Z10" s="90">
        <v>1159</v>
      </c>
      <c r="AA10" s="94">
        <v>1172</v>
      </c>
      <c r="AB10" s="83">
        <v>1218</v>
      </c>
      <c r="AC10" s="83">
        <v>1243</v>
      </c>
      <c r="AD10" s="107"/>
    </row>
    <row r="11" spans="1:30" ht="18">
      <c r="A11" s="99">
        <f t="shared" si="2"/>
        <v>5</v>
      </c>
      <c r="B11" s="142">
        <v>1.36</v>
      </c>
      <c r="C11" s="95">
        <f t="shared" si="0"/>
        <v>714</v>
      </c>
      <c r="D11" s="95">
        <f t="shared" si="1"/>
        <v>741.2</v>
      </c>
      <c r="E11" s="95">
        <f t="shared" si="3"/>
        <v>741.2</v>
      </c>
      <c r="F11" s="95">
        <f t="shared" si="4"/>
        <v>741.2</v>
      </c>
      <c r="G11" s="95">
        <f t="shared" si="5"/>
        <v>741.2</v>
      </c>
      <c r="H11" s="95">
        <f t="shared" si="6"/>
        <v>741.2</v>
      </c>
      <c r="I11" s="95">
        <f t="shared" si="8"/>
        <v>741.2</v>
      </c>
      <c r="J11" s="95">
        <v>744</v>
      </c>
      <c r="K11" s="95">
        <v>869</v>
      </c>
      <c r="L11" s="95">
        <v>884</v>
      </c>
      <c r="M11" s="95">
        <v>888</v>
      </c>
      <c r="N11" s="95">
        <v>907</v>
      </c>
      <c r="O11" s="95">
        <v>941</v>
      </c>
      <c r="P11" s="88">
        <v>960</v>
      </c>
      <c r="Q11" s="88">
        <v>995</v>
      </c>
      <c r="R11" s="91">
        <v>995</v>
      </c>
      <c r="S11" s="88">
        <v>985</v>
      </c>
      <c r="T11" s="88">
        <v>1004</v>
      </c>
      <c r="U11" s="88">
        <v>1108</v>
      </c>
      <c r="V11" s="88">
        <v>1129</v>
      </c>
      <c r="W11" s="90">
        <f t="shared" si="7"/>
        <v>1137</v>
      </c>
      <c r="X11" s="90">
        <f t="shared" si="7"/>
        <v>1137</v>
      </c>
      <c r="Y11" s="90">
        <f>Y10+10</f>
        <v>1153</v>
      </c>
      <c r="Z11" s="90">
        <f>1169</f>
        <v>1169</v>
      </c>
      <c r="AA11" s="94">
        <v>1182</v>
      </c>
      <c r="AB11" s="83">
        <v>1218</v>
      </c>
      <c r="AC11" s="83">
        <v>1253</v>
      </c>
      <c r="AD11" s="107"/>
    </row>
    <row r="12" spans="1:30" ht="18">
      <c r="A12" s="99">
        <f t="shared" si="2"/>
        <v>6</v>
      </c>
      <c r="B12" s="142">
        <v>1.45</v>
      </c>
      <c r="C12" s="95">
        <f t="shared" si="0"/>
        <v>761.25</v>
      </c>
      <c r="D12" s="95">
        <f t="shared" si="1"/>
        <v>790.25</v>
      </c>
      <c r="E12" s="95">
        <f t="shared" si="3"/>
        <v>790.25</v>
      </c>
      <c r="F12" s="95">
        <f t="shared" si="4"/>
        <v>790.25</v>
      </c>
      <c r="G12" s="95">
        <f t="shared" si="5"/>
        <v>790.25</v>
      </c>
      <c r="H12" s="95">
        <f t="shared" si="6"/>
        <v>790.25</v>
      </c>
      <c r="I12" s="95">
        <f t="shared" si="8"/>
        <v>790.25</v>
      </c>
      <c r="J12" s="95">
        <f aca="true" t="shared" si="9" ref="J12:J31">545*B12</f>
        <v>790.25</v>
      </c>
      <c r="K12" s="95">
        <v>869</v>
      </c>
      <c r="L12" s="95">
        <v>884</v>
      </c>
      <c r="M12" s="95">
        <v>888</v>
      </c>
      <c r="N12" s="95">
        <v>907</v>
      </c>
      <c r="O12" s="95">
        <v>941</v>
      </c>
      <c r="P12" s="88">
        <v>960</v>
      </c>
      <c r="Q12" s="88">
        <v>1005</v>
      </c>
      <c r="R12" s="91">
        <v>1005</v>
      </c>
      <c r="S12" s="88">
        <v>985</v>
      </c>
      <c r="T12" s="88">
        <v>1004</v>
      </c>
      <c r="U12" s="91">
        <v>1121</v>
      </c>
      <c r="V12" s="91">
        <v>1151</v>
      </c>
      <c r="W12" s="90">
        <v>1163</v>
      </c>
      <c r="X12" s="90">
        <v>1170</v>
      </c>
      <c r="Y12" s="90">
        <v>1193</v>
      </c>
      <c r="Z12" s="90">
        <v>1217</v>
      </c>
      <c r="AA12" s="94">
        <v>1235</v>
      </c>
      <c r="AB12" s="94">
        <v>1235</v>
      </c>
      <c r="AC12" s="94">
        <v>1263</v>
      </c>
      <c r="AD12" s="107"/>
    </row>
    <row r="13" spans="1:30" ht="18">
      <c r="A13" s="99">
        <f t="shared" si="2"/>
        <v>7</v>
      </c>
      <c r="B13" s="142">
        <v>1.54</v>
      </c>
      <c r="C13" s="95">
        <f t="shared" si="0"/>
        <v>808.5</v>
      </c>
      <c r="D13" s="95">
        <f t="shared" si="1"/>
        <v>839.3000000000001</v>
      </c>
      <c r="E13" s="95">
        <f t="shared" si="3"/>
        <v>839.3000000000001</v>
      </c>
      <c r="F13" s="95">
        <f t="shared" si="4"/>
        <v>839.3000000000001</v>
      </c>
      <c r="G13" s="95">
        <f t="shared" si="5"/>
        <v>839.3000000000001</v>
      </c>
      <c r="H13" s="95">
        <f t="shared" si="6"/>
        <v>839.3000000000001</v>
      </c>
      <c r="I13" s="95">
        <f t="shared" si="8"/>
        <v>839.3000000000001</v>
      </c>
      <c r="J13" s="95">
        <f t="shared" si="9"/>
        <v>839.3000000000001</v>
      </c>
      <c r="K13" s="95">
        <v>869</v>
      </c>
      <c r="L13" s="95">
        <v>884</v>
      </c>
      <c r="M13" s="95">
        <v>888</v>
      </c>
      <c r="N13" s="95">
        <v>907</v>
      </c>
      <c r="O13" s="95">
        <f aca="true" t="shared" si="10" ref="O13:O31">613*B13</f>
        <v>944.02</v>
      </c>
      <c r="P13" s="95">
        <f aca="true" t="shared" si="11" ref="P13:P31">625*B13</f>
        <v>962.5</v>
      </c>
      <c r="Q13" s="91">
        <v>1015</v>
      </c>
      <c r="R13" s="91">
        <v>1015</v>
      </c>
      <c r="S13" s="95">
        <f>641*B13</f>
        <v>987.14</v>
      </c>
      <c r="T13" s="95">
        <f>654*B13</f>
        <v>1007.16</v>
      </c>
      <c r="U13" s="91">
        <v>1190</v>
      </c>
      <c r="V13" s="91">
        <v>1223</v>
      </c>
      <c r="W13" s="90">
        <v>1235</v>
      </c>
      <c r="X13" s="90">
        <v>1243</v>
      </c>
      <c r="Y13" s="90">
        <v>1267</v>
      </c>
      <c r="Z13" s="90">
        <v>1292</v>
      </c>
      <c r="AA13" s="94">
        <v>1312</v>
      </c>
      <c r="AB13" s="94">
        <v>1312</v>
      </c>
      <c r="AC13" s="94">
        <v>1312</v>
      </c>
      <c r="AD13" s="107"/>
    </row>
    <row r="14" spans="1:30" ht="18">
      <c r="A14" s="99">
        <f t="shared" si="2"/>
        <v>8</v>
      </c>
      <c r="B14" s="142">
        <v>1.64</v>
      </c>
      <c r="C14" s="95">
        <f t="shared" si="0"/>
        <v>861</v>
      </c>
      <c r="D14" s="95">
        <f t="shared" si="1"/>
        <v>893.8</v>
      </c>
      <c r="E14" s="95">
        <f t="shared" si="3"/>
        <v>893.8</v>
      </c>
      <c r="F14" s="95">
        <f t="shared" si="4"/>
        <v>893.8</v>
      </c>
      <c r="G14" s="95">
        <f t="shared" si="5"/>
        <v>893.8</v>
      </c>
      <c r="H14" s="95">
        <f t="shared" si="6"/>
        <v>893.8</v>
      </c>
      <c r="I14" s="95">
        <f t="shared" si="8"/>
        <v>893.8</v>
      </c>
      <c r="J14" s="95">
        <f t="shared" si="9"/>
        <v>893.8</v>
      </c>
      <c r="K14" s="95">
        <f aca="true" t="shared" si="12" ref="K14:K31">B14*555</f>
        <v>910.1999999999999</v>
      </c>
      <c r="L14" s="95">
        <f aca="true" t="shared" si="13" ref="L14:L31">567*B14</f>
        <v>929.88</v>
      </c>
      <c r="M14" s="95">
        <f aca="true" t="shared" si="14" ref="M14:M31">570*B14</f>
        <v>934.8</v>
      </c>
      <c r="N14" s="95">
        <f aca="true" t="shared" si="15" ref="N14:N31">586*B14</f>
        <v>961.04</v>
      </c>
      <c r="O14" s="95">
        <f t="shared" si="10"/>
        <v>1005.3199999999999</v>
      </c>
      <c r="P14" s="95">
        <f t="shared" si="11"/>
        <v>1025</v>
      </c>
      <c r="Q14" s="91">
        <f aca="true" t="shared" si="16" ref="Q14:Q31">635*B14</f>
        <v>1041.3999999999999</v>
      </c>
      <c r="R14" s="91">
        <v>1051</v>
      </c>
      <c r="S14" s="95">
        <f aca="true" t="shared" si="17" ref="S14:S31">641*B14</f>
        <v>1051.24</v>
      </c>
      <c r="T14" s="95">
        <f aca="true" t="shared" si="18" ref="T14:T31">654*B14</f>
        <v>1072.56</v>
      </c>
      <c r="U14" s="91">
        <v>1268</v>
      </c>
      <c r="V14" s="91">
        <v>1302</v>
      </c>
      <c r="W14" s="90">
        <v>1315</v>
      </c>
      <c r="X14" s="90">
        <v>1323</v>
      </c>
      <c r="Y14" s="90">
        <v>1350</v>
      </c>
      <c r="Z14" s="90">
        <v>1376</v>
      </c>
      <c r="AA14" s="94">
        <v>1397</v>
      </c>
      <c r="AB14" s="94">
        <v>1397</v>
      </c>
      <c r="AC14" s="94">
        <v>1397</v>
      </c>
      <c r="AD14" s="107"/>
    </row>
    <row r="15" spans="1:30" ht="18">
      <c r="A15" s="99">
        <f t="shared" si="2"/>
        <v>9</v>
      </c>
      <c r="B15" s="142">
        <v>1.73</v>
      </c>
      <c r="C15" s="95">
        <f t="shared" si="0"/>
        <v>908.25</v>
      </c>
      <c r="D15" s="95">
        <f t="shared" si="1"/>
        <v>942.85</v>
      </c>
      <c r="E15" s="95">
        <f t="shared" si="3"/>
        <v>942.85</v>
      </c>
      <c r="F15" s="95">
        <f t="shared" si="4"/>
        <v>942.85</v>
      </c>
      <c r="G15" s="95">
        <f t="shared" si="5"/>
        <v>942.85</v>
      </c>
      <c r="H15" s="95">
        <f t="shared" si="6"/>
        <v>942.85</v>
      </c>
      <c r="I15" s="95">
        <f t="shared" si="8"/>
        <v>942.85</v>
      </c>
      <c r="J15" s="95">
        <f t="shared" si="9"/>
        <v>942.85</v>
      </c>
      <c r="K15" s="95">
        <f t="shared" si="12"/>
        <v>960.15</v>
      </c>
      <c r="L15" s="95">
        <f t="shared" si="13"/>
        <v>980.91</v>
      </c>
      <c r="M15" s="95">
        <f t="shared" si="14"/>
        <v>986.1</v>
      </c>
      <c r="N15" s="95">
        <f t="shared" si="15"/>
        <v>1013.78</v>
      </c>
      <c r="O15" s="95">
        <f t="shared" si="10"/>
        <v>1060.49</v>
      </c>
      <c r="P15" s="95">
        <f t="shared" si="11"/>
        <v>1081.25</v>
      </c>
      <c r="Q15" s="91">
        <f t="shared" si="16"/>
        <v>1098.55</v>
      </c>
      <c r="R15" s="91">
        <v>1109</v>
      </c>
      <c r="S15" s="95">
        <f t="shared" si="17"/>
        <v>1108.93</v>
      </c>
      <c r="T15" s="95">
        <f t="shared" si="18"/>
        <v>1131.42</v>
      </c>
      <c r="U15" s="91">
        <v>1337</v>
      </c>
      <c r="V15" s="91">
        <v>1374</v>
      </c>
      <c r="W15" s="90">
        <v>1387</v>
      </c>
      <c r="X15" s="90">
        <v>1396</v>
      </c>
      <c r="Y15" s="90">
        <v>1424</v>
      </c>
      <c r="Z15" s="90">
        <v>1451</v>
      </c>
      <c r="AA15" s="94">
        <v>1474</v>
      </c>
      <c r="AB15" s="94">
        <v>1474</v>
      </c>
      <c r="AC15" s="94">
        <v>1474</v>
      </c>
      <c r="AD15" s="107"/>
    </row>
    <row r="16" spans="1:30" ht="18">
      <c r="A16" s="99">
        <f t="shared" si="2"/>
        <v>10</v>
      </c>
      <c r="B16" s="142">
        <v>1.82</v>
      </c>
      <c r="C16" s="95">
        <f t="shared" si="0"/>
        <v>955.5</v>
      </c>
      <c r="D16" s="95">
        <f t="shared" si="1"/>
        <v>991.9</v>
      </c>
      <c r="E16" s="95">
        <f t="shared" si="3"/>
        <v>991.9</v>
      </c>
      <c r="F16" s="95">
        <f t="shared" si="4"/>
        <v>991.9</v>
      </c>
      <c r="G16" s="95">
        <f t="shared" si="5"/>
        <v>991.9</v>
      </c>
      <c r="H16" s="95">
        <f t="shared" si="6"/>
        <v>991.9</v>
      </c>
      <c r="I16" s="95">
        <f t="shared" si="8"/>
        <v>991.9</v>
      </c>
      <c r="J16" s="95">
        <f t="shared" si="9"/>
        <v>991.9</v>
      </c>
      <c r="K16" s="95">
        <f t="shared" si="12"/>
        <v>1010.1</v>
      </c>
      <c r="L16" s="95">
        <f t="shared" si="13"/>
        <v>1031.94</v>
      </c>
      <c r="M16" s="95">
        <f t="shared" si="14"/>
        <v>1037.4</v>
      </c>
      <c r="N16" s="95">
        <f t="shared" si="15"/>
        <v>1066.52</v>
      </c>
      <c r="O16" s="95">
        <f t="shared" si="10"/>
        <v>1115.66</v>
      </c>
      <c r="P16" s="95">
        <f t="shared" si="11"/>
        <v>1137.5</v>
      </c>
      <c r="Q16" s="91">
        <f t="shared" si="16"/>
        <v>1155.7</v>
      </c>
      <c r="R16" s="91">
        <v>1167</v>
      </c>
      <c r="S16" s="95">
        <f t="shared" si="17"/>
        <v>1166.6200000000001</v>
      </c>
      <c r="T16" s="95">
        <f t="shared" si="18"/>
        <v>1190.28</v>
      </c>
      <c r="U16" s="91">
        <v>1407</v>
      </c>
      <c r="V16" s="91">
        <v>1445</v>
      </c>
      <c r="W16" s="90">
        <v>1460</v>
      </c>
      <c r="X16" s="90">
        <v>1469</v>
      </c>
      <c r="Y16" s="90">
        <v>1498</v>
      </c>
      <c r="Z16" s="90">
        <v>1527</v>
      </c>
      <c r="AA16" s="94">
        <v>1551</v>
      </c>
      <c r="AB16" s="94">
        <v>1551</v>
      </c>
      <c r="AC16" s="94">
        <v>1551</v>
      </c>
      <c r="AD16" s="107"/>
    </row>
    <row r="17" spans="1:30" ht="18">
      <c r="A17" s="99">
        <f t="shared" si="2"/>
        <v>11</v>
      </c>
      <c r="B17" s="142">
        <v>1.97</v>
      </c>
      <c r="C17" s="95">
        <f t="shared" si="0"/>
        <v>1034.25</v>
      </c>
      <c r="D17" s="95">
        <f t="shared" si="1"/>
        <v>1073.65</v>
      </c>
      <c r="E17" s="95">
        <f t="shared" si="3"/>
        <v>1073.65</v>
      </c>
      <c r="F17" s="95">
        <f t="shared" si="4"/>
        <v>1073.65</v>
      </c>
      <c r="G17" s="95">
        <f t="shared" si="5"/>
        <v>1073.65</v>
      </c>
      <c r="H17" s="95">
        <f t="shared" si="6"/>
        <v>1073.65</v>
      </c>
      <c r="I17" s="95">
        <f t="shared" si="8"/>
        <v>1073.65</v>
      </c>
      <c r="J17" s="95">
        <f t="shared" si="9"/>
        <v>1073.65</v>
      </c>
      <c r="K17" s="95">
        <f t="shared" si="12"/>
        <v>1093.35</v>
      </c>
      <c r="L17" s="95">
        <f t="shared" si="13"/>
        <v>1116.99</v>
      </c>
      <c r="M17" s="95">
        <f t="shared" si="14"/>
        <v>1122.9</v>
      </c>
      <c r="N17" s="95">
        <f t="shared" si="15"/>
        <v>1154.42</v>
      </c>
      <c r="O17" s="95">
        <f t="shared" si="10"/>
        <v>1207.61</v>
      </c>
      <c r="P17" s="95">
        <f t="shared" si="11"/>
        <v>1231.25</v>
      </c>
      <c r="Q17" s="91">
        <f t="shared" si="16"/>
        <v>1250.95</v>
      </c>
      <c r="R17" s="91">
        <v>1263</v>
      </c>
      <c r="S17" s="95">
        <f t="shared" si="17"/>
        <v>1262.77</v>
      </c>
      <c r="T17" s="95">
        <f t="shared" si="18"/>
        <v>1288.3799999999999</v>
      </c>
      <c r="U17" s="91">
        <v>1523</v>
      </c>
      <c r="V17" s="91">
        <v>1564</v>
      </c>
      <c r="W17" s="90">
        <v>1580</v>
      </c>
      <c r="X17" s="90">
        <v>1590</v>
      </c>
      <c r="Y17" s="90">
        <v>1621</v>
      </c>
      <c r="Z17" s="90">
        <v>1653</v>
      </c>
      <c r="AA17" s="94">
        <v>1678</v>
      </c>
      <c r="AB17" s="94">
        <v>1678</v>
      </c>
      <c r="AC17" s="94">
        <v>1678</v>
      </c>
      <c r="AD17" s="107"/>
    </row>
    <row r="18" spans="1:30" ht="18">
      <c r="A18" s="99">
        <f t="shared" si="2"/>
        <v>12</v>
      </c>
      <c r="B18" s="142">
        <v>2.12</v>
      </c>
      <c r="C18" s="95">
        <f t="shared" si="0"/>
        <v>1113</v>
      </c>
      <c r="D18" s="95">
        <f t="shared" si="1"/>
        <v>1155.4</v>
      </c>
      <c r="E18" s="95">
        <f t="shared" si="3"/>
        <v>1155.4</v>
      </c>
      <c r="F18" s="95">
        <f t="shared" si="4"/>
        <v>1155.4</v>
      </c>
      <c r="G18" s="95">
        <f t="shared" si="5"/>
        <v>1155.4</v>
      </c>
      <c r="H18" s="95">
        <f t="shared" si="6"/>
        <v>1155.4</v>
      </c>
      <c r="I18" s="95">
        <f t="shared" si="8"/>
        <v>1155.4</v>
      </c>
      <c r="J18" s="95">
        <f t="shared" si="9"/>
        <v>1155.4</v>
      </c>
      <c r="K18" s="95">
        <f t="shared" si="12"/>
        <v>1176.6000000000001</v>
      </c>
      <c r="L18" s="95">
        <f t="shared" si="13"/>
        <v>1202.04</v>
      </c>
      <c r="M18" s="95">
        <f t="shared" si="14"/>
        <v>1208.4</v>
      </c>
      <c r="N18" s="95">
        <f t="shared" si="15"/>
        <v>1242.3200000000002</v>
      </c>
      <c r="O18" s="95">
        <f t="shared" si="10"/>
        <v>1299.5600000000002</v>
      </c>
      <c r="P18" s="95">
        <f t="shared" si="11"/>
        <v>1325</v>
      </c>
      <c r="Q18" s="91">
        <f t="shared" si="16"/>
        <v>1346.2</v>
      </c>
      <c r="R18" s="91">
        <v>1359</v>
      </c>
      <c r="S18" s="95">
        <f t="shared" si="17"/>
        <v>1358.92</v>
      </c>
      <c r="T18" s="95">
        <f t="shared" si="18"/>
        <v>1386.48</v>
      </c>
      <c r="U18" s="91">
        <v>1639</v>
      </c>
      <c r="V18" s="91">
        <v>1683</v>
      </c>
      <c r="W18" s="90">
        <v>1700</v>
      </c>
      <c r="X18" s="90">
        <v>1711</v>
      </c>
      <c r="Y18" s="90">
        <v>1745</v>
      </c>
      <c r="Z18" s="90">
        <v>1779</v>
      </c>
      <c r="AA18" s="94">
        <v>1806</v>
      </c>
      <c r="AB18" s="94">
        <v>1806</v>
      </c>
      <c r="AC18" s="94">
        <v>1806</v>
      </c>
      <c r="AD18" s="107"/>
    </row>
    <row r="19" spans="1:30" ht="18">
      <c r="A19" s="99">
        <f t="shared" si="2"/>
        <v>13</v>
      </c>
      <c r="B19" s="142">
        <v>2.27</v>
      </c>
      <c r="C19" s="95">
        <f t="shared" si="0"/>
        <v>1191.75</v>
      </c>
      <c r="D19" s="95">
        <f t="shared" si="1"/>
        <v>1237.15</v>
      </c>
      <c r="E19" s="95">
        <f t="shared" si="3"/>
        <v>1237.15</v>
      </c>
      <c r="F19" s="95">
        <f t="shared" si="4"/>
        <v>1237.15</v>
      </c>
      <c r="G19" s="95">
        <f t="shared" si="5"/>
        <v>1237.15</v>
      </c>
      <c r="H19" s="95">
        <f t="shared" si="6"/>
        <v>1237.15</v>
      </c>
      <c r="I19" s="95">
        <f t="shared" si="8"/>
        <v>1237.15</v>
      </c>
      <c r="J19" s="95">
        <f t="shared" si="9"/>
        <v>1237.15</v>
      </c>
      <c r="K19" s="95">
        <f t="shared" si="12"/>
        <v>1259.85</v>
      </c>
      <c r="L19" s="95">
        <f t="shared" si="13"/>
        <v>1287.09</v>
      </c>
      <c r="M19" s="95">
        <f t="shared" si="14"/>
        <v>1293.9</v>
      </c>
      <c r="N19" s="95">
        <f t="shared" si="15"/>
        <v>1330.22</v>
      </c>
      <c r="O19" s="95">
        <f t="shared" si="10"/>
        <v>1391.51</v>
      </c>
      <c r="P19" s="95">
        <f t="shared" si="11"/>
        <v>1418.75</v>
      </c>
      <c r="Q19" s="91">
        <f t="shared" si="16"/>
        <v>1441.45</v>
      </c>
      <c r="R19" s="91">
        <v>1455</v>
      </c>
      <c r="S19" s="95">
        <f t="shared" si="17"/>
        <v>1455.07</v>
      </c>
      <c r="T19" s="95">
        <f t="shared" si="18"/>
        <v>1484.58</v>
      </c>
      <c r="U19" s="91">
        <v>1755</v>
      </c>
      <c r="V19" s="91">
        <v>1802</v>
      </c>
      <c r="W19" s="90">
        <v>1821</v>
      </c>
      <c r="X19" s="90">
        <v>1832</v>
      </c>
      <c r="Y19" s="90">
        <v>1868</v>
      </c>
      <c r="Z19" s="90">
        <v>1905</v>
      </c>
      <c r="AA19" s="94">
        <v>1934</v>
      </c>
      <c r="AB19" s="94">
        <v>1934</v>
      </c>
      <c r="AC19" s="94">
        <v>1934</v>
      </c>
      <c r="AD19" s="107"/>
    </row>
    <row r="20" spans="1:33" ht="18">
      <c r="A20" s="99">
        <f t="shared" si="2"/>
        <v>14</v>
      </c>
      <c r="B20" s="142">
        <v>2.42</v>
      </c>
      <c r="C20" s="95">
        <f t="shared" si="0"/>
        <v>1270.5</v>
      </c>
      <c r="D20" s="95">
        <f t="shared" si="1"/>
        <v>1318.8999999999999</v>
      </c>
      <c r="E20" s="95">
        <f t="shared" si="3"/>
        <v>1318.8999999999999</v>
      </c>
      <c r="F20" s="95">
        <f t="shared" si="4"/>
        <v>1318.8999999999999</v>
      </c>
      <c r="G20" s="95">
        <f t="shared" si="5"/>
        <v>1318.8999999999999</v>
      </c>
      <c r="H20" s="95">
        <f t="shared" si="6"/>
        <v>1318.8999999999999</v>
      </c>
      <c r="I20" s="95">
        <f t="shared" si="8"/>
        <v>1318.8999999999999</v>
      </c>
      <c r="J20" s="95">
        <f t="shared" si="9"/>
        <v>1318.8999999999999</v>
      </c>
      <c r="K20" s="95">
        <f t="shared" si="12"/>
        <v>1343.1</v>
      </c>
      <c r="L20" s="95">
        <f t="shared" si="13"/>
        <v>1372.1399999999999</v>
      </c>
      <c r="M20" s="95">
        <f t="shared" si="14"/>
        <v>1379.3999999999999</v>
      </c>
      <c r="N20" s="95">
        <f t="shared" si="15"/>
        <v>1418.12</v>
      </c>
      <c r="O20" s="95">
        <f t="shared" si="10"/>
        <v>1483.46</v>
      </c>
      <c r="P20" s="95">
        <f t="shared" si="11"/>
        <v>1512.5</v>
      </c>
      <c r="Q20" s="91">
        <f t="shared" si="16"/>
        <v>1536.7</v>
      </c>
      <c r="R20" s="91">
        <v>1551</v>
      </c>
      <c r="S20" s="95">
        <f t="shared" si="17"/>
        <v>1551.22</v>
      </c>
      <c r="T20" s="95">
        <f t="shared" si="18"/>
        <v>1582.68</v>
      </c>
      <c r="U20" s="91">
        <v>1871</v>
      </c>
      <c r="V20" s="91">
        <v>1921</v>
      </c>
      <c r="W20" s="90">
        <v>1941</v>
      </c>
      <c r="X20" s="90">
        <v>1953</v>
      </c>
      <c r="Y20" s="90">
        <v>1992</v>
      </c>
      <c r="Z20" s="90">
        <v>2030</v>
      </c>
      <c r="AA20" s="94">
        <v>2062</v>
      </c>
      <c r="AB20" s="94">
        <v>2062</v>
      </c>
      <c r="AC20" s="94">
        <v>2062</v>
      </c>
      <c r="AD20" s="107"/>
      <c r="AE20" s="99"/>
      <c r="AF20" s="99"/>
      <c r="AG20" s="99"/>
    </row>
    <row r="21" spans="1:30" ht="18">
      <c r="A21" s="99">
        <f t="shared" si="2"/>
        <v>15</v>
      </c>
      <c r="B21" s="142">
        <v>2.58</v>
      </c>
      <c r="C21" s="95">
        <f t="shared" si="0"/>
        <v>1354.5</v>
      </c>
      <c r="D21" s="95">
        <f t="shared" si="1"/>
        <v>1406.1000000000001</v>
      </c>
      <c r="E21" s="95">
        <f t="shared" si="3"/>
        <v>1406.1000000000001</v>
      </c>
      <c r="F21" s="95">
        <f t="shared" si="4"/>
        <v>1406.1000000000001</v>
      </c>
      <c r="G21" s="95">
        <f t="shared" si="5"/>
        <v>1406.1000000000001</v>
      </c>
      <c r="H21" s="95">
        <f t="shared" si="6"/>
        <v>1406.1000000000001</v>
      </c>
      <c r="I21" s="95">
        <f t="shared" si="8"/>
        <v>1406.1000000000001</v>
      </c>
      <c r="J21" s="95">
        <f t="shared" si="9"/>
        <v>1406.1000000000001</v>
      </c>
      <c r="K21" s="95">
        <f t="shared" si="12"/>
        <v>1431.9</v>
      </c>
      <c r="L21" s="95">
        <f t="shared" si="13"/>
        <v>1462.8600000000001</v>
      </c>
      <c r="M21" s="95">
        <f t="shared" si="14"/>
        <v>1470.6000000000001</v>
      </c>
      <c r="N21" s="95">
        <f t="shared" si="15"/>
        <v>1511.88</v>
      </c>
      <c r="O21" s="95">
        <f t="shared" si="10"/>
        <v>1581.54</v>
      </c>
      <c r="P21" s="95">
        <f t="shared" si="11"/>
        <v>1612.5</v>
      </c>
      <c r="Q21" s="91">
        <f t="shared" si="16"/>
        <v>1638.3</v>
      </c>
      <c r="R21" s="91">
        <v>1654</v>
      </c>
      <c r="S21" s="95">
        <f t="shared" si="17"/>
        <v>1653.78</v>
      </c>
      <c r="T21" s="95">
        <f t="shared" si="18"/>
        <v>1687.32</v>
      </c>
      <c r="U21" s="91">
        <v>1994</v>
      </c>
      <c r="V21" s="91">
        <v>2049</v>
      </c>
      <c r="W21" s="90">
        <v>2069</v>
      </c>
      <c r="X21" s="90">
        <v>2082</v>
      </c>
      <c r="Y21" s="90">
        <v>2123</v>
      </c>
      <c r="Z21" s="90">
        <v>2165</v>
      </c>
      <c r="AA21" s="94">
        <v>2198</v>
      </c>
      <c r="AB21" s="94">
        <v>2198</v>
      </c>
      <c r="AC21" s="94">
        <v>2198</v>
      </c>
      <c r="AD21" s="107"/>
    </row>
    <row r="22" spans="1:30" ht="18">
      <c r="A22" s="99">
        <f t="shared" si="2"/>
        <v>16</v>
      </c>
      <c r="B22" s="142">
        <v>2.79</v>
      </c>
      <c r="C22" s="95">
        <f t="shared" si="0"/>
        <v>1464.75</v>
      </c>
      <c r="D22" s="95">
        <f t="shared" si="1"/>
        <v>1520.55</v>
      </c>
      <c r="E22" s="95">
        <f t="shared" si="3"/>
        <v>1520.55</v>
      </c>
      <c r="F22" s="95">
        <f t="shared" si="4"/>
        <v>1520.55</v>
      </c>
      <c r="G22" s="95">
        <f t="shared" si="5"/>
        <v>1520.55</v>
      </c>
      <c r="H22" s="95">
        <f t="shared" si="6"/>
        <v>1520.55</v>
      </c>
      <c r="I22" s="95">
        <f t="shared" si="8"/>
        <v>1520.55</v>
      </c>
      <c r="J22" s="95">
        <f t="shared" si="9"/>
        <v>1520.55</v>
      </c>
      <c r="K22" s="95">
        <f t="shared" si="12"/>
        <v>1548.45</v>
      </c>
      <c r="L22" s="95">
        <f t="shared" si="13"/>
        <v>1581.93</v>
      </c>
      <c r="M22" s="95">
        <f t="shared" si="14"/>
        <v>1590.3</v>
      </c>
      <c r="N22" s="95">
        <f t="shared" si="15"/>
        <v>1634.94</v>
      </c>
      <c r="O22" s="95">
        <f t="shared" si="10"/>
        <v>1710.27</v>
      </c>
      <c r="P22" s="95">
        <f t="shared" si="11"/>
        <v>1743.75</v>
      </c>
      <c r="Q22" s="91">
        <f t="shared" si="16"/>
        <v>1771.65</v>
      </c>
      <c r="R22" s="91">
        <v>1788</v>
      </c>
      <c r="S22" s="95">
        <f t="shared" si="17"/>
        <v>1788.39</v>
      </c>
      <c r="T22" s="95">
        <f t="shared" si="18"/>
        <v>1824.66</v>
      </c>
      <c r="U22" s="91">
        <v>2157</v>
      </c>
      <c r="V22" s="91">
        <v>2215</v>
      </c>
      <c r="W22" s="90">
        <v>2238</v>
      </c>
      <c r="X22" s="90">
        <v>2252</v>
      </c>
      <c r="Y22" s="90">
        <v>2296</v>
      </c>
      <c r="Z22" s="90">
        <v>2341</v>
      </c>
      <c r="AA22" s="94">
        <v>2377</v>
      </c>
      <c r="AB22" s="94">
        <v>2377</v>
      </c>
      <c r="AC22" s="94">
        <v>2377</v>
      </c>
      <c r="AD22" s="107"/>
    </row>
    <row r="23" spans="1:30" ht="18">
      <c r="A23" s="99">
        <f t="shared" si="2"/>
        <v>17</v>
      </c>
      <c r="B23" s="142">
        <v>3</v>
      </c>
      <c r="C23" s="95">
        <f t="shared" si="0"/>
        <v>1575</v>
      </c>
      <c r="D23" s="95">
        <f t="shared" si="1"/>
        <v>1635</v>
      </c>
      <c r="E23" s="95">
        <f t="shared" si="3"/>
        <v>1635</v>
      </c>
      <c r="F23" s="95">
        <f t="shared" si="4"/>
        <v>1635</v>
      </c>
      <c r="G23" s="95">
        <f t="shared" si="5"/>
        <v>1635</v>
      </c>
      <c r="H23" s="95">
        <f t="shared" si="6"/>
        <v>1635</v>
      </c>
      <c r="I23" s="95">
        <f t="shared" si="8"/>
        <v>1635</v>
      </c>
      <c r="J23" s="95">
        <f t="shared" si="9"/>
        <v>1635</v>
      </c>
      <c r="K23" s="95">
        <f t="shared" si="12"/>
        <v>1665</v>
      </c>
      <c r="L23" s="95">
        <f t="shared" si="13"/>
        <v>1701</v>
      </c>
      <c r="M23" s="95">
        <f t="shared" si="14"/>
        <v>1710</v>
      </c>
      <c r="N23" s="95">
        <f t="shared" si="15"/>
        <v>1758</v>
      </c>
      <c r="O23" s="95">
        <f t="shared" si="10"/>
        <v>1839</v>
      </c>
      <c r="P23" s="95">
        <f t="shared" si="11"/>
        <v>1875</v>
      </c>
      <c r="Q23" s="91">
        <f t="shared" si="16"/>
        <v>1905</v>
      </c>
      <c r="R23" s="91">
        <v>1923</v>
      </c>
      <c r="S23" s="95">
        <f t="shared" si="17"/>
        <v>1923</v>
      </c>
      <c r="T23" s="95">
        <f t="shared" si="18"/>
        <v>1962</v>
      </c>
      <c r="U23" s="91">
        <v>2319</v>
      </c>
      <c r="V23" s="91">
        <v>2382</v>
      </c>
      <c r="W23" s="90">
        <v>2406</v>
      </c>
      <c r="X23" s="90">
        <v>2421</v>
      </c>
      <c r="Y23" s="90">
        <v>2469</v>
      </c>
      <c r="Z23" s="90">
        <v>2517</v>
      </c>
      <c r="AA23" s="94">
        <v>2556</v>
      </c>
      <c r="AB23" s="94">
        <v>2556</v>
      </c>
      <c r="AC23" s="94">
        <v>2556</v>
      </c>
      <c r="AD23" s="107"/>
    </row>
    <row r="24" spans="1:30" ht="18">
      <c r="A24" s="99">
        <f t="shared" si="2"/>
        <v>18</v>
      </c>
      <c r="B24" s="142">
        <v>3.21</v>
      </c>
      <c r="C24" s="95">
        <f t="shared" si="0"/>
        <v>1685.25</v>
      </c>
      <c r="D24" s="95">
        <f t="shared" si="1"/>
        <v>1749.45</v>
      </c>
      <c r="E24" s="95">
        <f t="shared" si="3"/>
        <v>1749.45</v>
      </c>
      <c r="F24" s="95">
        <f t="shared" si="4"/>
        <v>1749.45</v>
      </c>
      <c r="G24" s="95">
        <f t="shared" si="5"/>
        <v>1749.45</v>
      </c>
      <c r="H24" s="95">
        <f t="shared" si="6"/>
        <v>1749.45</v>
      </c>
      <c r="I24" s="95">
        <f t="shared" si="8"/>
        <v>1749.45</v>
      </c>
      <c r="J24" s="95">
        <f t="shared" si="9"/>
        <v>1749.45</v>
      </c>
      <c r="K24" s="95">
        <f t="shared" si="12"/>
        <v>1781.55</v>
      </c>
      <c r="L24" s="95">
        <f t="shared" si="13"/>
        <v>1820.07</v>
      </c>
      <c r="M24" s="95">
        <f t="shared" si="14"/>
        <v>1829.7</v>
      </c>
      <c r="N24" s="95">
        <f t="shared" si="15"/>
        <v>1881.06</v>
      </c>
      <c r="O24" s="95">
        <f t="shared" si="10"/>
        <v>1967.73</v>
      </c>
      <c r="P24" s="95">
        <f t="shared" si="11"/>
        <v>2006.25</v>
      </c>
      <c r="Q24" s="91">
        <f t="shared" si="16"/>
        <v>2038.35</v>
      </c>
      <c r="R24" s="91">
        <v>2058</v>
      </c>
      <c r="S24" s="95">
        <f t="shared" si="17"/>
        <v>2057.61</v>
      </c>
      <c r="T24" s="95">
        <f t="shared" si="18"/>
        <v>2099.34</v>
      </c>
      <c r="U24" s="91">
        <v>2481</v>
      </c>
      <c r="V24" s="91">
        <v>2549</v>
      </c>
      <c r="W24" s="90">
        <v>2574</v>
      </c>
      <c r="X24" s="90">
        <v>2590</v>
      </c>
      <c r="Y24" s="90">
        <v>2642</v>
      </c>
      <c r="Z24" s="90">
        <v>2693</v>
      </c>
      <c r="AA24" s="94">
        <v>2735</v>
      </c>
      <c r="AB24" s="94">
        <v>2735</v>
      </c>
      <c r="AC24" s="94">
        <v>2735</v>
      </c>
      <c r="AD24" s="107"/>
    </row>
    <row r="25" spans="1:30" ht="18">
      <c r="A25" s="99">
        <f t="shared" si="2"/>
        <v>19</v>
      </c>
      <c r="B25" s="142">
        <v>3.42</v>
      </c>
      <c r="C25" s="95">
        <f t="shared" si="0"/>
        <v>1795.5</v>
      </c>
      <c r="D25" s="95">
        <f t="shared" si="1"/>
        <v>1863.8999999999999</v>
      </c>
      <c r="E25" s="95">
        <f t="shared" si="3"/>
        <v>1863.8999999999999</v>
      </c>
      <c r="F25" s="95">
        <f t="shared" si="4"/>
        <v>1863.8999999999999</v>
      </c>
      <c r="G25" s="95">
        <f t="shared" si="5"/>
        <v>1863.8999999999999</v>
      </c>
      <c r="H25" s="95">
        <f t="shared" si="6"/>
        <v>1863.8999999999999</v>
      </c>
      <c r="I25" s="95">
        <f t="shared" si="8"/>
        <v>1863.8999999999999</v>
      </c>
      <c r="J25" s="95">
        <f t="shared" si="9"/>
        <v>1863.8999999999999</v>
      </c>
      <c r="K25" s="95">
        <f t="shared" si="12"/>
        <v>1898.1</v>
      </c>
      <c r="L25" s="95">
        <f t="shared" si="13"/>
        <v>1939.1399999999999</v>
      </c>
      <c r="M25" s="95">
        <f t="shared" si="14"/>
        <v>1949.3999999999999</v>
      </c>
      <c r="N25" s="95">
        <f t="shared" si="15"/>
        <v>2004.12</v>
      </c>
      <c r="O25" s="95">
        <f t="shared" si="10"/>
        <v>2096.46</v>
      </c>
      <c r="P25" s="95">
        <f t="shared" si="11"/>
        <v>2137.5</v>
      </c>
      <c r="Q25" s="91">
        <f t="shared" si="16"/>
        <v>2171.7</v>
      </c>
      <c r="R25" s="91">
        <v>2192</v>
      </c>
      <c r="S25" s="95">
        <f t="shared" si="17"/>
        <v>2192.22</v>
      </c>
      <c r="T25" s="95">
        <f t="shared" si="18"/>
        <v>2236.68</v>
      </c>
      <c r="U25" s="91">
        <v>2644</v>
      </c>
      <c r="V25" s="91">
        <v>2715</v>
      </c>
      <c r="W25" s="90">
        <v>2743</v>
      </c>
      <c r="X25" s="90">
        <v>2760</v>
      </c>
      <c r="Y25" s="90">
        <v>2815</v>
      </c>
      <c r="Z25" s="90">
        <v>2869</v>
      </c>
      <c r="AA25" s="94">
        <v>2914</v>
      </c>
      <c r="AB25" s="94">
        <v>2914</v>
      </c>
      <c r="AC25" s="94">
        <v>2914</v>
      </c>
      <c r="AD25" s="107"/>
    </row>
    <row r="26" spans="1:30" ht="18">
      <c r="A26" s="99">
        <f t="shared" si="2"/>
        <v>20</v>
      </c>
      <c r="B26" s="142">
        <v>3.64</v>
      </c>
      <c r="C26" s="95">
        <f t="shared" si="0"/>
        <v>1911</v>
      </c>
      <c r="D26" s="95">
        <f t="shared" si="1"/>
        <v>1983.8</v>
      </c>
      <c r="E26" s="95">
        <f t="shared" si="3"/>
        <v>1983.8</v>
      </c>
      <c r="F26" s="95">
        <f t="shared" si="4"/>
        <v>1983.8</v>
      </c>
      <c r="G26" s="95">
        <f t="shared" si="5"/>
        <v>1983.8</v>
      </c>
      <c r="H26" s="95">
        <f t="shared" si="6"/>
        <v>1983.8</v>
      </c>
      <c r="I26" s="95">
        <f t="shared" si="8"/>
        <v>1983.8</v>
      </c>
      <c r="J26" s="95">
        <f t="shared" si="9"/>
        <v>1983.8</v>
      </c>
      <c r="K26" s="95">
        <f t="shared" si="12"/>
        <v>2020.2</v>
      </c>
      <c r="L26" s="95">
        <f t="shared" si="13"/>
        <v>2063.88</v>
      </c>
      <c r="M26" s="95">
        <f t="shared" si="14"/>
        <v>2074.8</v>
      </c>
      <c r="N26" s="95">
        <f t="shared" si="15"/>
        <v>2133.04</v>
      </c>
      <c r="O26" s="95">
        <f t="shared" si="10"/>
        <v>2231.32</v>
      </c>
      <c r="P26" s="95">
        <f t="shared" si="11"/>
        <v>2275</v>
      </c>
      <c r="Q26" s="91">
        <f t="shared" si="16"/>
        <v>2311.4</v>
      </c>
      <c r="R26" s="91">
        <v>2333</v>
      </c>
      <c r="S26" s="95">
        <f t="shared" si="17"/>
        <v>2333.2400000000002</v>
      </c>
      <c r="T26" s="95">
        <f t="shared" si="18"/>
        <v>2380.56</v>
      </c>
      <c r="U26" s="91">
        <v>2814</v>
      </c>
      <c r="V26" s="91">
        <v>2890</v>
      </c>
      <c r="W26" s="90">
        <v>2919</v>
      </c>
      <c r="X26" s="90">
        <v>2937</v>
      </c>
      <c r="Y26" s="90">
        <v>2996</v>
      </c>
      <c r="Z26" s="90">
        <v>3054</v>
      </c>
      <c r="AA26" s="94">
        <v>3101</v>
      </c>
      <c r="AB26" s="94">
        <v>3101</v>
      </c>
      <c r="AC26" s="94">
        <v>3101</v>
      </c>
      <c r="AD26" s="107"/>
    </row>
    <row r="27" spans="1:30" ht="18">
      <c r="A27" s="99">
        <f t="shared" si="2"/>
        <v>21</v>
      </c>
      <c r="B27" s="142">
        <v>3.85</v>
      </c>
      <c r="C27" s="95">
        <f t="shared" si="0"/>
        <v>2021.25</v>
      </c>
      <c r="D27" s="95">
        <f t="shared" si="1"/>
        <v>2098.25</v>
      </c>
      <c r="E27" s="95">
        <f t="shared" si="3"/>
        <v>2098.25</v>
      </c>
      <c r="F27" s="95">
        <f t="shared" si="4"/>
        <v>2098.25</v>
      </c>
      <c r="G27" s="95">
        <f t="shared" si="5"/>
        <v>2098.25</v>
      </c>
      <c r="H27" s="95">
        <f t="shared" si="6"/>
        <v>2098.25</v>
      </c>
      <c r="I27" s="95">
        <f t="shared" si="8"/>
        <v>2098.25</v>
      </c>
      <c r="J27" s="95">
        <f t="shared" si="9"/>
        <v>2098.25</v>
      </c>
      <c r="K27" s="95">
        <f t="shared" si="12"/>
        <v>2136.75</v>
      </c>
      <c r="L27" s="95">
        <f t="shared" si="13"/>
        <v>2182.9500000000003</v>
      </c>
      <c r="M27" s="95">
        <f t="shared" si="14"/>
        <v>2194.5</v>
      </c>
      <c r="N27" s="95">
        <f t="shared" si="15"/>
        <v>2256.1</v>
      </c>
      <c r="O27" s="95">
        <f t="shared" si="10"/>
        <v>2360.05</v>
      </c>
      <c r="P27" s="95">
        <f t="shared" si="11"/>
        <v>2406.25</v>
      </c>
      <c r="Q27" s="91">
        <f t="shared" si="16"/>
        <v>2444.75</v>
      </c>
      <c r="R27" s="91">
        <v>2468</v>
      </c>
      <c r="S27" s="95">
        <f t="shared" si="17"/>
        <v>2467.85</v>
      </c>
      <c r="T27" s="95">
        <f t="shared" si="18"/>
        <v>2517.9</v>
      </c>
      <c r="U27" s="91">
        <v>2976</v>
      </c>
      <c r="V27" s="91">
        <v>3057</v>
      </c>
      <c r="W27" s="90">
        <v>3088</v>
      </c>
      <c r="X27" s="90">
        <v>3107</v>
      </c>
      <c r="Y27" s="90">
        <v>3169</v>
      </c>
      <c r="Z27" s="90">
        <v>3230</v>
      </c>
      <c r="AA27" s="94">
        <v>3280</v>
      </c>
      <c r="AB27" s="94">
        <v>3280</v>
      </c>
      <c r="AC27" s="94">
        <v>3280</v>
      </c>
      <c r="AD27" s="107"/>
    </row>
    <row r="28" spans="1:30" ht="18">
      <c r="A28" s="99">
        <f t="shared" si="2"/>
        <v>22</v>
      </c>
      <c r="B28" s="142">
        <v>4.06</v>
      </c>
      <c r="C28" s="95">
        <f t="shared" si="0"/>
        <v>2131.5</v>
      </c>
      <c r="D28" s="95">
        <f t="shared" si="1"/>
        <v>2212.7</v>
      </c>
      <c r="E28" s="95">
        <f t="shared" si="3"/>
        <v>2212.7</v>
      </c>
      <c r="F28" s="95">
        <f t="shared" si="4"/>
        <v>2212.7</v>
      </c>
      <c r="G28" s="95">
        <f t="shared" si="5"/>
        <v>2212.7</v>
      </c>
      <c r="H28" s="95">
        <f t="shared" si="6"/>
        <v>2212.7</v>
      </c>
      <c r="I28" s="95">
        <f t="shared" si="8"/>
        <v>2212.7</v>
      </c>
      <c r="J28" s="95">
        <f t="shared" si="9"/>
        <v>2212.7</v>
      </c>
      <c r="K28" s="95">
        <f t="shared" si="12"/>
        <v>2253.2999999999997</v>
      </c>
      <c r="L28" s="95">
        <f t="shared" si="13"/>
        <v>2302.02</v>
      </c>
      <c r="M28" s="95">
        <f t="shared" si="14"/>
        <v>2314.2</v>
      </c>
      <c r="N28" s="95">
        <f t="shared" si="15"/>
        <v>2379.16</v>
      </c>
      <c r="O28" s="95">
        <f t="shared" si="10"/>
        <v>2488.7799999999997</v>
      </c>
      <c r="P28" s="95">
        <f t="shared" si="11"/>
        <v>2537.4999999999995</v>
      </c>
      <c r="Q28" s="91">
        <f t="shared" si="16"/>
        <v>2578.1</v>
      </c>
      <c r="R28" s="91">
        <v>2602</v>
      </c>
      <c r="S28" s="95">
        <f t="shared" si="17"/>
        <v>2602.4599999999996</v>
      </c>
      <c r="T28" s="95">
        <f t="shared" si="18"/>
        <v>2655.24</v>
      </c>
      <c r="U28" s="91">
        <v>3138</v>
      </c>
      <c r="V28" s="91">
        <v>3224</v>
      </c>
      <c r="W28" s="90">
        <v>3256</v>
      </c>
      <c r="X28" s="90">
        <v>3276</v>
      </c>
      <c r="Y28" s="90">
        <v>3341</v>
      </c>
      <c r="Z28" s="90">
        <v>3406</v>
      </c>
      <c r="AA28" s="94">
        <v>3459</v>
      </c>
      <c r="AB28" s="94">
        <v>3459</v>
      </c>
      <c r="AC28" s="94">
        <v>3459</v>
      </c>
      <c r="AD28" s="107"/>
    </row>
    <row r="29" spans="1:30" ht="18">
      <c r="A29" s="99">
        <f t="shared" si="2"/>
        <v>23</v>
      </c>
      <c r="B29" s="142">
        <v>4.27</v>
      </c>
      <c r="C29" s="95">
        <f t="shared" si="0"/>
        <v>2241.75</v>
      </c>
      <c r="D29" s="95">
        <f t="shared" si="1"/>
        <v>2327.1499999999996</v>
      </c>
      <c r="E29" s="95">
        <f t="shared" si="3"/>
        <v>2327.1499999999996</v>
      </c>
      <c r="F29" s="95">
        <f t="shared" si="4"/>
        <v>2327.1499999999996</v>
      </c>
      <c r="G29" s="95">
        <f t="shared" si="5"/>
        <v>2327.1499999999996</v>
      </c>
      <c r="H29" s="95">
        <f t="shared" si="6"/>
        <v>2327.1499999999996</v>
      </c>
      <c r="I29" s="95">
        <f t="shared" si="8"/>
        <v>2327.1499999999996</v>
      </c>
      <c r="J29" s="95">
        <f t="shared" si="9"/>
        <v>2327.1499999999996</v>
      </c>
      <c r="K29" s="95">
        <f t="shared" si="12"/>
        <v>2369.85</v>
      </c>
      <c r="L29" s="95">
        <f t="shared" si="13"/>
        <v>2421.0899999999997</v>
      </c>
      <c r="M29" s="95">
        <f t="shared" si="14"/>
        <v>2433.8999999999996</v>
      </c>
      <c r="N29" s="95">
        <f t="shared" si="15"/>
        <v>2502.22</v>
      </c>
      <c r="O29" s="95">
        <f t="shared" si="10"/>
        <v>2617.5099999999998</v>
      </c>
      <c r="P29" s="95">
        <f t="shared" si="11"/>
        <v>2668.7499999999995</v>
      </c>
      <c r="Q29" s="91">
        <f t="shared" si="16"/>
        <v>2711.45</v>
      </c>
      <c r="R29" s="91">
        <v>2737</v>
      </c>
      <c r="S29" s="95">
        <f t="shared" si="17"/>
        <v>2737.0699999999997</v>
      </c>
      <c r="T29" s="95">
        <f t="shared" si="18"/>
        <v>2792.58</v>
      </c>
      <c r="U29" s="91">
        <v>3301</v>
      </c>
      <c r="V29" s="91">
        <v>3390</v>
      </c>
      <c r="W29" s="90">
        <v>3425</v>
      </c>
      <c r="X29" s="90">
        <v>3446</v>
      </c>
      <c r="Y29" s="90">
        <v>3514</v>
      </c>
      <c r="Z29" s="90">
        <v>3583</v>
      </c>
      <c r="AA29" s="94">
        <v>3638</v>
      </c>
      <c r="AB29" s="94">
        <v>3638</v>
      </c>
      <c r="AC29" s="94">
        <v>3638</v>
      </c>
      <c r="AD29" s="107"/>
    </row>
    <row r="30" spans="1:30" ht="18">
      <c r="A30" s="99">
        <f t="shared" si="2"/>
        <v>24</v>
      </c>
      <c r="B30" s="142">
        <v>4.36</v>
      </c>
      <c r="C30" s="95">
        <f t="shared" si="0"/>
        <v>2289</v>
      </c>
      <c r="D30" s="95">
        <f t="shared" si="1"/>
        <v>2376.2000000000003</v>
      </c>
      <c r="E30" s="95">
        <f t="shared" si="3"/>
        <v>2376.2000000000003</v>
      </c>
      <c r="F30" s="95">
        <f t="shared" si="4"/>
        <v>2376.2000000000003</v>
      </c>
      <c r="G30" s="95">
        <f t="shared" si="5"/>
        <v>2376.2000000000003</v>
      </c>
      <c r="H30" s="95">
        <f t="shared" si="6"/>
        <v>2376.2000000000003</v>
      </c>
      <c r="I30" s="95">
        <f t="shared" si="8"/>
        <v>2376.2000000000003</v>
      </c>
      <c r="J30" s="95">
        <f t="shared" si="9"/>
        <v>2376.2000000000003</v>
      </c>
      <c r="K30" s="95">
        <f t="shared" si="12"/>
        <v>2419.8</v>
      </c>
      <c r="L30" s="95">
        <f t="shared" si="13"/>
        <v>2472.1200000000003</v>
      </c>
      <c r="M30" s="95">
        <f t="shared" si="14"/>
        <v>2485.2000000000003</v>
      </c>
      <c r="N30" s="95">
        <f t="shared" si="15"/>
        <v>2554.96</v>
      </c>
      <c r="O30" s="95">
        <f t="shared" si="10"/>
        <v>2672.6800000000003</v>
      </c>
      <c r="P30" s="95">
        <f t="shared" si="11"/>
        <v>2725</v>
      </c>
      <c r="Q30" s="91">
        <f t="shared" si="16"/>
        <v>2768.6000000000004</v>
      </c>
      <c r="R30" s="91">
        <v>2795</v>
      </c>
      <c r="S30" s="95">
        <f t="shared" si="17"/>
        <v>2794.76</v>
      </c>
      <c r="T30" s="95">
        <f t="shared" si="18"/>
        <v>2851.44</v>
      </c>
      <c r="U30" s="91">
        <v>3370</v>
      </c>
      <c r="V30" s="91">
        <v>3462</v>
      </c>
      <c r="W30" s="90">
        <v>3497</v>
      </c>
      <c r="X30" s="90">
        <v>3519</v>
      </c>
      <c r="Y30" s="90">
        <v>3588</v>
      </c>
      <c r="Z30" s="90">
        <v>3658</v>
      </c>
      <c r="AA30" s="94">
        <v>3715</v>
      </c>
      <c r="AB30" s="94">
        <v>3715</v>
      </c>
      <c r="AC30" s="94">
        <v>3715</v>
      </c>
      <c r="AD30" s="107"/>
    </row>
    <row r="31" spans="1:29" ht="18">
      <c r="A31" s="99">
        <f t="shared" si="2"/>
        <v>25</v>
      </c>
      <c r="B31" s="142">
        <v>4.51</v>
      </c>
      <c r="C31" s="95">
        <f t="shared" si="0"/>
        <v>2367.75</v>
      </c>
      <c r="D31" s="95">
        <f t="shared" si="1"/>
        <v>2457.95</v>
      </c>
      <c r="E31" s="95">
        <f t="shared" si="3"/>
        <v>2457.95</v>
      </c>
      <c r="F31" s="95">
        <f t="shared" si="4"/>
        <v>2457.95</v>
      </c>
      <c r="G31" s="95">
        <f t="shared" si="5"/>
        <v>2457.95</v>
      </c>
      <c r="H31" s="95">
        <f t="shared" si="6"/>
        <v>2457.95</v>
      </c>
      <c r="I31" s="95">
        <f t="shared" si="8"/>
        <v>2457.95</v>
      </c>
      <c r="J31" s="95">
        <f t="shared" si="9"/>
        <v>2457.95</v>
      </c>
      <c r="K31" s="95">
        <f t="shared" si="12"/>
        <v>2503.0499999999997</v>
      </c>
      <c r="L31" s="95">
        <f t="shared" si="13"/>
        <v>2557.17</v>
      </c>
      <c r="M31" s="95">
        <f t="shared" si="14"/>
        <v>2570.7</v>
      </c>
      <c r="N31" s="95">
        <f t="shared" si="15"/>
        <v>2642.8599999999997</v>
      </c>
      <c r="O31" s="95">
        <f t="shared" si="10"/>
        <v>2764.6299999999997</v>
      </c>
      <c r="P31" s="95">
        <f t="shared" si="11"/>
        <v>2818.75</v>
      </c>
      <c r="Q31" s="91">
        <f t="shared" si="16"/>
        <v>2863.85</v>
      </c>
      <c r="R31" s="91">
        <v>2891</v>
      </c>
      <c r="S31" s="95">
        <f t="shared" si="17"/>
        <v>2890.91</v>
      </c>
      <c r="T31" s="95">
        <f t="shared" si="18"/>
        <v>2949.54</v>
      </c>
      <c r="U31" s="91">
        <v>3486</v>
      </c>
      <c r="V31" s="91">
        <v>3581</v>
      </c>
      <c r="W31" s="90">
        <v>3617</v>
      </c>
      <c r="X31" s="90">
        <v>3640</v>
      </c>
      <c r="Y31" s="90">
        <v>3712</v>
      </c>
      <c r="Z31" s="90">
        <v>3784</v>
      </c>
      <c r="AA31" s="94">
        <v>3843</v>
      </c>
      <c r="AB31" s="94">
        <v>3843</v>
      </c>
      <c r="AC31" s="94">
        <v>3843</v>
      </c>
    </row>
    <row r="32" spans="1:28" ht="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1"/>
      <c r="V32" s="101"/>
      <c r="W32" s="101"/>
      <c r="X32" s="101"/>
      <c r="Y32" s="101"/>
      <c r="Z32" s="101"/>
      <c r="AA32" s="105"/>
      <c r="AB32" s="101"/>
    </row>
    <row r="33" spans="1:29" ht="18">
      <c r="A33" s="153" t="s">
        <v>309</v>
      </c>
      <c r="B33" s="153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4">
        <f>2673*0.9</f>
        <v>2405.7000000000003</v>
      </c>
      <c r="P33" s="104">
        <f>2725*0.9</f>
        <v>2452.5</v>
      </c>
      <c r="Q33" s="104">
        <f>2769*0.9</f>
        <v>2492.1</v>
      </c>
      <c r="R33" s="104">
        <f>2795*0.9</f>
        <v>2515.5</v>
      </c>
      <c r="S33" s="104">
        <f>2795*0.9</f>
        <v>2515.5</v>
      </c>
      <c r="T33" s="104">
        <f>2851*0.9</f>
        <v>2565.9</v>
      </c>
      <c r="U33" s="93">
        <f>3370*0.9</f>
        <v>3033</v>
      </c>
      <c r="V33" s="93">
        <f aca="true" t="shared" si="19" ref="V33:AB33">V30*0.9</f>
        <v>3115.8</v>
      </c>
      <c r="W33" s="93">
        <f t="shared" si="19"/>
        <v>3147.3</v>
      </c>
      <c r="X33" s="93">
        <f t="shared" si="19"/>
        <v>3167.1</v>
      </c>
      <c r="Y33" s="93">
        <f t="shared" si="19"/>
        <v>3229.2000000000003</v>
      </c>
      <c r="Z33" s="93">
        <f t="shared" si="19"/>
        <v>3292.2000000000003</v>
      </c>
      <c r="AA33" s="93">
        <f t="shared" si="19"/>
        <v>3343.5</v>
      </c>
      <c r="AB33" s="93">
        <f t="shared" si="19"/>
        <v>3343.5</v>
      </c>
      <c r="AC33" s="93">
        <f>AC30*0.9</f>
        <v>3343.5</v>
      </c>
    </row>
    <row r="34" spans="1:29" ht="18">
      <c r="A34" s="114" t="s">
        <v>310</v>
      </c>
      <c r="B34" s="114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6">
        <f>2406*0.95</f>
        <v>2285.7</v>
      </c>
      <c r="P34" s="106">
        <f>2453*0.95</f>
        <v>2330.35</v>
      </c>
      <c r="Q34" s="106">
        <f>2492*0.95</f>
        <v>2367.4</v>
      </c>
      <c r="R34" s="106">
        <f>2516*0.95</f>
        <v>2390.2</v>
      </c>
      <c r="S34" s="106">
        <f>2516*0.95</f>
        <v>2390.2</v>
      </c>
      <c r="T34" s="106">
        <f>2566*0.95</f>
        <v>2437.7</v>
      </c>
      <c r="U34" s="94">
        <f>U33*0.95</f>
        <v>2881.35</v>
      </c>
      <c r="V34" s="94">
        <f>V33*0.95</f>
        <v>2960.01</v>
      </c>
      <c r="W34" s="94">
        <f>W33*0.95</f>
        <v>2989.935</v>
      </c>
      <c r="X34" s="94">
        <f>X33*0.95</f>
        <v>3008.745</v>
      </c>
      <c r="Y34" s="94">
        <f>Y33*0.95</f>
        <v>3067.7400000000002</v>
      </c>
      <c r="Z34" s="94">
        <f>3292*0.95</f>
        <v>3127.3999999999996</v>
      </c>
      <c r="AA34" s="94">
        <f>3344*0.95</f>
        <v>3176.7999999999997</v>
      </c>
      <c r="AB34" s="94">
        <f>3344*0.95</f>
        <v>3176.7999999999997</v>
      </c>
      <c r="AC34" s="94">
        <f>3344*0.95</f>
        <v>3176.7999999999997</v>
      </c>
    </row>
    <row r="35" spans="1:29" ht="18">
      <c r="A35" s="114" t="s">
        <v>311</v>
      </c>
      <c r="B35" s="11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6">
        <f>O30*0.7</f>
        <v>1870.876</v>
      </c>
      <c r="P35" s="106">
        <f>P30*0.7</f>
        <v>1907.4999999999998</v>
      </c>
      <c r="Q35" s="106">
        <f>Q30*0.7</f>
        <v>1938.0200000000002</v>
      </c>
      <c r="R35" s="106">
        <f>R30*0.7</f>
        <v>1956.4999999999998</v>
      </c>
      <c r="S35" s="106">
        <f>2795*0.7</f>
        <v>1956.4999999999998</v>
      </c>
      <c r="T35" s="106">
        <f>2851*0.7</f>
        <v>1995.6999999999998</v>
      </c>
      <c r="U35" s="95">
        <f aca="true" t="shared" si="20" ref="U35:AA35">U30*0.7</f>
        <v>2359</v>
      </c>
      <c r="V35" s="95">
        <f t="shared" si="20"/>
        <v>2423.3999999999996</v>
      </c>
      <c r="W35" s="95">
        <f t="shared" si="20"/>
        <v>2447.8999999999996</v>
      </c>
      <c r="X35" s="95">
        <f t="shared" si="20"/>
        <v>2463.2999999999997</v>
      </c>
      <c r="Y35" s="95">
        <f t="shared" si="20"/>
        <v>2511.6</v>
      </c>
      <c r="Z35" s="95">
        <f t="shared" si="20"/>
        <v>2560.6</v>
      </c>
      <c r="AA35" s="95">
        <f t="shared" si="20"/>
        <v>2600.5</v>
      </c>
      <c r="AB35" s="95">
        <f>AB30*0.7</f>
        <v>2600.5</v>
      </c>
      <c r="AC35" s="95">
        <f>AC30*0.7</f>
        <v>2600.5</v>
      </c>
    </row>
    <row r="36" spans="1:29" ht="18">
      <c r="A36" s="114" t="s">
        <v>312</v>
      </c>
      <c r="B36" s="11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6">
        <f aca="true" t="shared" si="21" ref="O36:W36">O33*0.65</f>
        <v>1563.7050000000002</v>
      </c>
      <c r="P36" s="106">
        <f t="shared" si="21"/>
        <v>1594.125</v>
      </c>
      <c r="Q36" s="106">
        <f t="shared" si="21"/>
        <v>1619.865</v>
      </c>
      <c r="R36" s="106">
        <f t="shared" si="21"/>
        <v>1635.075</v>
      </c>
      <c r="S36" s="106">
        <f>2516*0.65</f>
        <v>1635.4</v>
      </c>
      <c r="T36" s="106">
        <f>2566*0.65</f>
        <v>1667.9</v>
      </c>
      <c r="U36" s="95">
        <f t="shared" si="21"/>
        <v>1971.45</v>
      </c>
      <c r="V36" s="95">
        <f t="shared" si="21"/>
        <v>2025.2700000000002</v>
      </c>
      <c r="W36" s="95">
        <f t="shared" si="21"/>
        <v>2045.7450000000001</v>
      </c>
      <c r="X36" s="95">
        <v>2059</v>
      </c>
      <c r="Y36" s="95">
        <f>Y33*0.65</f>
        <v>2098.9800000000005</v>
      </c>
      <c r="Z36" s="95">
        <f>Z33*0.65</f>
        <v>2139.9300000000003</v>
      </c>
      <c r="AA36" s="95">
        <f>3344*0.65</f>
        <v>2173.6</v>
      </c>
      <c r="AB36" s="95">
        <f>3344*0.65</f>
        <v>2173.6</v>
      </c>
      <c r="AC36" s="95">
        <f>3344*0.65</f>
        <v>2173.6</v>
      </c>
    </row>
    <row r="37" spans="1:29" ht="18">
      <c r="A37" s="114" t="s">
        <v>313</v>
      </c>
      <c r="B37" s="114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6">
        <f>O18*0.95</f>
        <v>1234.582</v>
      </c>
      <c r="P37" s="106">
        <f>P18*0.95</f>
        <v>1258.75</v>
      </c>
      <c r="Q37" s="106">
        <f>Q18*0.95</f>
        <v>1278.8899999999999</v>
      </c>
      <c r="R37" s="106">
        <f>R18*0.95</f>
        <v>1291.05</v>
      </c>
      <c r="S37" s="106">
        <f>1359*0.95</f>
        <v>1291.05</v>
      </c>
      <c r="T37" s="106">
        <f>1386*0.95</f>
        <v>1316.7</v>
      </c>
      <c r="U37" s="95">
        <f>1639*0.95</f>
        <v>1557.05</v>
      </c>
      <c r="V37" s="95">
        <f>1683*0.95</f>
        <v>1598.85</v>
      </c>
      <c r="W37" s="95">
        <f>1700*0.95</f>
        <v>1615</v>
      </c>
      <c r="X37" s="95">
        <f>1711*0.95</f>
        <v>1625.4499999999998</v>
      </c>
      <c r="Y37" s="95">
        <f>1745*0.95</f>
        <v>1657.75</v>
      </c>
      <c r="Z37" s="95">
        <f>1779*0.95</f>
        <v>1690.05</v>
      </c>
      <c r="AA37" s="95">
        <f>AA18*0.95</f>
        <v>1715.6999999999998</v>
      </c>
      <c r="AB37" s="95">
        <f>AB18*0.95</f>
        <v>1715.6999999999998</v>
      </c>
      <c r="AC37" s="95">
        <f>AC18*0.95</f>
        <v>1715.6999999999998</v>
      </c>
    </row>
    <row r="38" spans="1:29" ht="18">
      <c r="A38" s="114" t="s">
        <v>314</v>
      </c>
      <c r="B38" s="11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6">
        <f aca="true" t="shared" si="22" ref="O38:U38">(O17+O18)/2</f>
        <v>1253.585</v>
      </c>
      <c r="P38" s="106">
        <f t="shared" si="22"/>
        <v>1278.125</v>
      </c>
      <c r="Q38" s="106">
        <f t="shared" si="22"/>
        <v>1298.575</v>
      </c>
      <c r="R38" s="106">
        <f t="shared" si="22"/>
        <v>1311</v>
      </c>
      <c r="S38" s="106">
        <f t="shared" si="22"/>
        <v>1310.845</v>
      </c>
      <c r="T38" s="106">
        <f t="shared" si="22"/>
        <v>1337.4299999999998</v>
      </c>
      <c r="U38" s="95">
        <f t="shared" si="22"/>
        <v>1581</v>
      </c>
      <c r="V38" s="95">
        <f aca="true" t="shared" si="23" ref="V38:AA38">(V17+V18)/2</f>
        <v>1623.5</v>
      </c>
      <c r="W38" s="95">
        <f t="shared" si="23"/>
        <v>1640</v>
      </c>
      <c r="X38" s="95">
        <f t="shared" si="23"/>
        <v>1650.5</v>
      </c>
      <c r="Y38" s="95">
        <f t="shared" si="23"/>
        <v>1683</v>
      </c>
      <c r="Z38" s="95">
        <f t="shared" si="23"/>
        <v>1716</v>
      </c>
      <c r="AA38" s="95">
        <f t="shared" si="23"/>
        <v>1742</v>
      </c>
      <c r="AB38" s="95">
        <f>(AB17+AB18)/2</f>
        <v>1742</v>
      </c>
      <c r="AC38" s="95">
        <f>(AC17+AC18)/2</f>
        <v>1742</v>
      </c>
    </row>
    <row r="39" spans="1:29" ht="18">
      <c r="A39" s="114" t="s">
        <v>315</v>
      </c>
      <c r="B39" s="11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6">
        <f aca="true" t="shared" si="24" ref="O39:U39">O17*0.95</f>
        <v>1147.2295</v>
      </c>
      <c r="P39" s="106">
        <f t="shared" si="24"/>
        <v>1169.6875</v>
      </c>
      <c r="Q39" s="106">
        <f t="shared" si="24"/>
        <v>1188.4025</v>
      </c>
      <c r="R39" s="106">
        <f t="shared" si="24"/>
        <v>1199.85</v>
      </c>
      <c r="S39" s="106">
        <f t="shared" si="24"/>
        <v>1199.6315</v>
      </c>
      <c r="T39" s="106">
        <f t="shared" si="24"/>
        <v>1223.9609999999998</v>
      </c>
      <c r="U39" s="95">
        <f t="shared" si="24"/>
        <v>1446.85</v>
      </c>
      <c r="V39" s="95">
        <f aca="true" t="shared" si="25" ref="V39:AA39">V17*0.95</f>
        <v>1485.8</v>
      </c>
      <c r="W39" s="95">
        <f t="shared" si="25"/>
        <v>1501</v>
      </c>
      <c r="X39" s="95">
        <f t="shared" si="25"/>
        <v>1510.5</v>
      </c>
      <c r="Y39" s="95">
        <f t="shared" si="25"/>
        <v>1539.9499999999998</v>
      </c>
      <c r="Z39" s="95">
        <f t="shared" si="25"/>
        <v>1570.35</v>
      </c>
      <c r="AA39" s="95">
        <f t="shared" si="25"/>
        <v>1594.1</v>
      </c>
      <c r="AB39" s="95">
        <f>AB17*0.95</f>
        <v>1594.1</v>
      </c>
      <c r="AC39" s="95">
        <f>AC17*0.95</f>
        <v>1594.1</v>
      </c>
    </row>
    <row r="40" spans="1:29" ht="18">
      <c r="A40" s="114" t="s">
        <v>349</v>
      </c>
      <c r="B40" s="114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6">
        <f aca="true" t="shared" si="26" ref="O40:T40">O7</f>
        <v>941</v>
      </c>
      <c r="P40" s="106">
        <f t="shared" si="26"/>
        <v>960</v>
      </c>
      <c r="Q40" s="106">
        <f t="shared" si="26"/>
        <v>960</v>
      </c>
      <c r="R40" s="106">
        <f t="shared" si="26"/>
        <v>960</v>
      </c>
      <c r="S40" s="106">
        <f t="shared" si="26"/>
        <v>985</v>
      </c>
      <c r="T40" s="106">
        <f t="shared" si="26"/>
        <v>1004</v>
      </c>
      <c r="U40" s="95">
        <f aca="true" t="shared" si="27" ref="U40:AA40">U15*0.85</f>
        <v>1136.45</v>
      </c>
      <c r="V40" s="95">
        <f t="shared" si="27"/>
        <v>1167.8999999999999</v>
      </c>
      <c r="W40" s="95">
        <f t="shared" si="27"/>
        <v>1178.95</v>
      </c>
      <c r="X40" s="95">
        <f t="shared" si="27"/>
        <v>1186.6</v>
      </c>
      <c r="Y40" s="95">
        <f t="shared" si="27"/>
        <v>1210.3999999999999</v>
      </c>
      <c r="Z40" s="95">
        <f t="shared" si="27"/>
        <v>1233.35</v>
      </c>
      <c r="AA40" s="95">
        <f t="shared" si="27"/>
        <v>1252.8999999999999</v>
      </c>
      <c r="AB40" s="95">
        <f>AB15*0.85</f>
        <v>1252.8999999999999</v>
      </c>
      <c r="AC40" s="95">
        <f>AC15*0.85</f>
        <v>1252.8999999999999</v>
      </c>
    </row>
    <row r="41" spans="1:29" ht="18">
      <c r="A41" s="152" t="s">
        <v>386</v>
      </c>
      <c r="B41" s="152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94">
        <f aca="true" t="shared" si="28" ref="U41:AA41">U19*0.95</f>
        <v>1667.25</v>
      </c>
      <c r="V41" s="94">
        <f t="shared" si="28"/>
        <v>1711.8999999999999</v>
      </c>
      <c r="W41" s="94">
        <f t="shared" si="28"/>
        <v>1729.9499999999998</v>
      </c>
      <c r="X41" s="94">
        <f t="shared" si="28"/>
        <v>1740.3999999999999</v>
      </c>
      <c r="Y41" s="94">
        <f t="shared" si="28"/>
        <v>1774.6</v>
      </c>
      <c r="Z41" s="94">
        <f t="shared" si="28"/>
        <v>1809.75</v>
      </c>
      <c r="AA41" s="94">
        <f t="shared" si="28"/>
        <v>1837.3</v>
      </c>
      <c r="AB41" s="94">
        <f>AB19*0.95</f>
        <v>1837.3</v>
      </c>
      <c r="AC41" s="94">
        <f>AC19*0.95</f>
        <v>1837.3</v>
      </c>
    </row>
    <row r="42" spans="1:29" ht="18">
      <c r="A42" s="152" t="s">
        <v>412</v>
      </c>
      <c r="B42" s="152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94">
        <f aca="true" t="shared" si="29" ref="U42:AA42">U16*0.95</f>
        <v>1336.6499999999999</v>
      </c>
      <c r="V42" s="94">
        <f t="shared" si="29"/>
        <v>1372.75</v>
      </c>
      <c r="W42" s="94">
        <f t="shared" si="29"/>
        <v>1387</v>
      </c>
      <c r="X42" s="94">
        <f t="shared" si="29"/>
        <v>1395.55</v>
      </c>
      <c r="Y42" s="94">
        <f t="shared" si="29"/>
        <v>1423.1</v>
      </c>
      <c r="Z42" s="94">
        <f t="shared" si="29"/>
        <v>1450.6499999999999</v>
      </c>
      <c r="AA42" s="94">
        <f t="shared" si="29"/>
        <v>1473.4499999999998</v>
      </c>
      <c r="AB42" s="94">
        <f>AB16*0.95</f>
        <v>1473.4499999999998</v>
      </c>
      <c r="AC42" s="94">
        <f>AC16*0.95</f>
        <v>1473.4499999999998</v>
      </c>
    </row>
    <row r="43" spans="1:28" ht="1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97"/>
      <c r="AB43" s="97"/>
    </row>
    <row r="44" spans="1:28" ht="15">
      <c r="A44" s="115"/>
      <c r="B44" s="115"/>
      <c r="C44" s="115">
        <f>(C7*1+D7*2+E7*1)/4</f>
        <v>555</v>
      </c>
      <c r="D44" s="115"/>
      <c r="E44" s="115"/>
      <c r="F44" s="136">
        <f>(F7*3+G7*3+H7*3+I7*1+J7*2)/12</f>
        <v>643.1666666666666</v>
      </c>
      <c r="G44" s="136"/>
      <c r="H44" s="136"/>
      <c r="I44" s="136"/>
      <c r="J44" s="136"/>
      <c r="K44" s="136">
        <f>(K7*3+L7*3+M7*3+N7*3)/12</f>
        <v>887</v>
      </c>
      <c r="L44" s="115"/>
      <c r="M44" s="115"/>
      <c r="N44" s="115"/>
      <c r="O44" s="115"/>
      <c r="P44" s="115"/>
      <c r="Q44" s="115"/>
      <c r="R44" s="115"/>
      <c r="S44" s="115"/>
      <c r="T44" s="115"/>
      <c r="U44" s="136"/>
      <c r="V44" s="115"/>
      <c r="W44" s="135"/>
      <c r="X44" s="135"/>
      <c r="Y44" s="135"/>
      <c r="Z44" s="135"/>
      <c r="AA44" s="97"/>
      <c r="AB44" s="97"/>
    </row>
    <row r="45" spans="1:28" ht="15">
      <c r="A45" s="115"/>
      <c r="B45" s="115"/>
      <c r="C45" s="136">
        <f aca="true" t="shared" si="30" ref="C45:C62">(C8*1+D8*2+E8*1)/4</f>
        <v>591.3375000000001</v>
      </c>
      <c r="D45" s="115"/>
      <c r="E45" s="115"/>
      <c r="F45" s="136">
        <f aca="true" t="shared" si="31" ref="F45:F62">(F8*3+G8*3+H8*3+I8*1+J8*2)/12</f>
        <v>643.1666666666666</v>
      </c>
      <c r="G45" s="136"/>
      <c r="H45" s="136"/>
      <c r="I45" s="136"/>
      <c r="J45" s="136"/>
      <c r="K45" s="136">
        <f aca="true" t="shared" si="32" ref="K45:K62">(K8*3+L8*3+M8*3+N8*3)/12</f>
        <v>887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36"/>
      <c r="V45" s="115"/>
      <c r="W45" s="135"/>
      <c r="X45" s="135"/>
      <c r="Y45" s="135"/>
      <c r="Z45" s="135"/>
      <c r="AA45" s="97"/>
      <c r="AB45" s="97"/>
    </row>
    <row r="46" spans="1:28" ht="15">
      <c r="A46" s="115"/>
      <c r="B46" s="115"/>
      <c r="C46" s="136">
        <f t="shared" si="30"/>
        <v>637.2</v>
      </c>
      <c r="D46" s="115"/>
      <c r="E46" s="115"/>
      <c r="F46" s="136">
        <f t="shared" si="31"/>
        <v>660.4916666666667</v>
      </c>
      <c r="G46" s="136"/>
      <c r="H46" s="136"/>
      <c r="I46" s="136"/>
      <c r="J46" s="136"/>
      <c r="K46" s="136">
        <f t="shared" si="32"/>
        <v>887</v>
      </c>
      <c r="L46" s="115"/>
      <c r="M46" s="115"/>
      <c r="N46" s="115"/>
      <c r="O46" s="115"/>
      <c r="P46" s="115"/>
      <c r="Q46" s="115"/>
      <c r="R46" s="115"/>
      <c r="S46" s="115"/>
      <c r="T46" s="115"/>
      <c r="U46" s="136"/>
      <c r="V46" s="115"/>
      <c r="W46" s="135"/>
      <c r="X46" s="135"/>
      <c r="Y46" s="135"/>
      <c r="Z46" s="135"/>
      <c r="AA46" s="97"/>
      <c r="AB46" s="97"/>
    </row>
    <row r="47" spans="1:28" ht="15">
      <c r="A47" s="115"/>
      <c r="B47" s="115"/>
      <c r="C47" s="136">
        <f t="shared" si="30"/>
        <v>685.8000000000001</v>
      </c>
      <c r="D47" s="115"/>
      <c r="E47" s="115"/>
      <c r="F47" s="136">
        <f t="shared" si="31"/>
        <v>700.7916666666666</v>
      </c>
      <c r="G47" s="136"/>
      <c r="H47" s="136"/>
      <c r="I47" s="136"/>
      <c r="J47" s="136"/>
      <c r="K47" s="136">
        <f t="shared" si="32"/>
        <v>887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36"/>
      <c r="V47" s="115"/>
      <c r="W47" s="135"/>
      <c r="X47" s="135"/>
      <c r="Y47" s="135"/>
      <c r="Z47" s="135"/>
      <c r="AA47" s="97"/>
      <c r="AB47" s="97"/>
    </row>
    <row r="48" spans="1:28" ht="15">
      <c r="A48" s="115"/>
      <c r="B48" s="115"/>
      <c r="C48" s="136">
        <f t="shared" si="30"/>
        <v>734.4000000000001</v>
      </c>
      <c r="D48" s="115"/>
      <c r="E48" s="115"/>
      <c r="F48" s="136">
        <f t="shared" si="31"/>
        <v>741.6666666666666</v>
      </c>
      <c r="G48" s="136"/>
      <c r="H48" s="136"/>
      <c r="I48" s="136"/>
      <c r="J48" s="136"/>
      <c r="K48" s="136">
        <f t="shared" si="32"/>
        <v>887</v>
      </c>
      <c r="L48" s="115"/>
      <c r="M48" s="115"/>
      <c r="N48" s="115"/>
      <c r="O48" s="115"/>
      <c r="P48" s="115"/>
      <c r="Q48" s="115"/>
      <c r="R48" s="115"/>
      <c r="S48" s="115"/>
      <c r="T48" s="115"/>
      <c r="U48" s="136"/>
      <c r="V48" s="115"/>
      <c r="W48" s="135"/>
      <c r="X48" s="135"/>
      <c r="Y48" s="135"/>
      <c r="Z48" s="135"/>
      <c r="AA48" s="97"/>
      <c r="AB48" s="97"/>
    </row>
    <row r="49" spans="1:28" ht="15">
      <c r="A49" s="115"/>
      <c r="B49" s="115"/>
      <c r="C49" s="136">
        <f t="shared" si="30"/>
        <v>783</v>
      </c>
      <c r="D49" s="115"/>
      <c r="E49" s="115"/>
      <c r="F49" s="136">
        <f t="shared" si="31"/>
        <v>790.25</v>
      </c>
      <c r="G49" s="136"/>
      <c r="H49" s="136"/>
      <c r="I49" s="136"/>
      <c r="J49" s="136"/>
      <c r="K49" s="136">
        <f t="shared" si="32"/>
        <v>887</v>
      </c>
      <c r="L49" s="115"/>
      <c r="M49" s="115"/>
      <c r="N49" s="115"/>
      <c r="O49" s="115"/>
      <c r="P49" s="115"/>
      <c r="Q49" s="115"/>
      <c r="R49" s="115"/>
      <c r="S49" s="115"/>
      <c r="T49" s="115"/>
      <c r="U49" s="136"/>
      <c r="V49" s="115"/>
      <c r="W49" s="135"/>
      <c r="X49" s="135"/>
      <c r="Y49" s="135"/>
      <c r="Z49" s="135"/>
      <c r="AA49" s="97"/>
      <c r="AB49" s="97"/>
    </row>
    <row r="50" spans="1:28" ht="15">
      <c r="A50" s="115"/>
      <c r="B50" s="115"/>
      <c r="C50" s="136">
        <f t="shared" si="30"/>
        <v>831.6000000000001</v>
      </c>
      <c r="D50" s="115"/>
      <c r="E50" s="115"/>
      <c r="F50" s="136">
        <f t="shared" si="31"/>
        <v>839.3000000000001</v>
      </c>
      <c r="G50" s="136"/>
      <c r="H50" s="136"/>
      <c r="I50" s="136"/>
      <c r="J50" s="136"/>
      <c r="K50" s="136">
        <f t="shared" si="32"/>
        <v>887</v>
      </c>
      <c r="L50" s="115"/>
      <c r="M50" s="115"/>
      <c r="N50" s="115"/>
      <c r="O50" s="115"/>
      <c r="P50" s="115"/>
      <c r="Q50" s="115"/>
      <c r="R50" s="115"/>
      <c r="S50" s="115"/>
      <c r="T50" s="115"/>
      <c r="U50" s="136"/>
      <c r="V50" s="115"/>
      <c r="W50" s="135"/>
      <c r="X50" s="135"/>
      <c r="Y50" s="135"/>
      <c r="Z50" s="135"/>
      <c r="AA50" s="97"/>
      <c r="AB50" s="97"/>
    </row>
    <row r="51" spans="1:28" ht="15">
      <c r="A51" s="115"/>
      <c r="B51" s="115"/>
      <c r="C51" s="136">
        <f t="shared" si="30"/>
        <v>885.5999999999999</v>
      </c>
      <c r="D51" s="115"/>
      <c r="E51" s="115"/>
      <c r="F51" s="136">
        <f t="shared" si="31"/>
        <v>893.7999999999998</v>
      </c>
      <c r="G51" s="136"/>
      <c r="H51" s="136"/>
      <c r="I51" s="136"/>
      <c r="J51" s="136"/>
      <c r="K51" s="136">
        <f t="shared" si="32"/>
        <v>933.9799999999999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36"/>
      <c r="V51" s="115"/>
      <c r="W51" s="135"/>
      <c r="X51" s="135"/>
      <c r="Y51" s="135"/>
      <c r="Z51" s="135"/>
      <c r="AA51" s="97"/>
      <c r="AB51" s="97"/>
    </row>
    <row r="52" spans="1:28" ht="15">
      <c r="A52" s="115"/>
      <c r="B52" s="115"/>
      <c r="C52" s="136">
        <f t="shared" si="30"/>
        <v>934.1999999999999</v>
      </c>
      <c r="D52" s="115"/>
      <c r="E52" s="115"/>
      <c r="F52" s="136">
        <f t="shared" si="31"/>
        <v>942.8500000000003</v>
      </c>
      <c r="G52" s="136"/>
      <c r="H52" s="136"/>
      <c r="I52" s="136"/>
      <c r="J52" s="136"/>
      <c r="K52" s="136">
        <f t="shared" si="32"/>
        <v>985.235</v>
      </c>
      <c r="L52" s="115"/>
      <c r="M52" s="115"/>
      <c r="N52" s="115"/>
      <c r="O52" s="115"/>
      <c r="P52" s="115"/>
      <c r="Q52" s="115"/>
      <c r="R52" s="115"/>
      <c r="S52" s="115"/>
      <c r="T52" s="115"/>
      <c r="U52" s="136"/>
      <c r="V52" s="115"/>
      <c r="W52" s="135"/>
      <c r="X52" s="135"/>
      <c r="Y52" s="135"/>
      <c r="Z52" s="135"/>
      <c r="AA52" s="97"/>
      <c r="AB52" s="97"/>
    </row>
    <row r="53" spans="1:28" ht="15">
      <c r="A53" s="115"/>
      <c r="B53" s="115"/>
      <c r="C53" s="136">
        <f t="shared" si="30"/>
        <v>982.8000000000001</v>
      </c>
      <c r="D53" s="115"/>
      <c r="E53" s="115"/>
      <c r="F53" s="136">
        <f t="shared" si="31"/>
        <v>991.8999999999997</v>
      </c>
      <c r="G53" s="136"/>
      <c r="H53" s="136"/>
      <c r="I53" s="136"/>
      <c r="J53" s="136"/>
      <c r="K53" s="136">
        <f t="shared" si="32"/>
        <v>1036.49</v>
      </c>
      <c r="L53" s="115"/>
      <c r="M53" s="115"/>
      <c r="N53" s="115"/>
      <c r="O53" s="115"/>
      <c r="P53" s="115"/>
      <c r="Q53" s="115"/>
      <c r="R53" s="115"/>
      <c r="S53" s="115"/>
      <c r="T53" s="115"/>
      <c r="U53" s="136"/>
      <c r="V53" s="115"/>
      <c r="W53" s="135"/>
      <c r="X53" s="135"/>
      <c r="Y53" s="135"/>
      <c r="Z53" s="135"/>
      <c r="AA53" s="97"/>
      <c r="AB53" s="97"/>
    </row>
    <row r="54" spans="1:28" ht="15">
      <c r="A54" s="115"/>
      <c r="B54" s="115"/>
      <c r="C54" s="136">
        <f t="shared" si="30"/>
        <v>1063.8000000000002</v>
      </c>
      <c r="D54" s="115"/>
      <c r="E54" s="115"/>
      <c r="F54" s="136">
        <f t="shared" si="31"/>
        <v>1073.6499999999999</v>
      </c>
      <c r="G54" s="136"/>
      <c r="H54" s="136"/>
      <c r="I54" s="136"/>
      <c r="J54" s="136"/>
      <c r="K54" s="136">
        <f t="shared" si="32"/>
        <v>1121.9150000000002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36"/>
      <c r="V54" s="115"/>
      <c r="W54" s="135"/>
      <c r="X54" s="135"/>
      <c r="Y54" s="135"/>
      <c r="Z54" s="135"/>
      <c r="AA54" s="97"/>
      <c r="AB54" s="97"/>
    </row>
    <row r="55" spans="1:28" ht="15">
      <c r="A55" s="115"/>
      <c r="B55" s="115"/>
      <c r="C55" s="136">
        <f t="shared" si="30"/>
        <v>1144.8000000000002</v>
      </c>
      <c r="D55" s="115"/>
      <c r="E55" s="115"/>
      <c r="F55" s="136">
        <f t="shared" si="31"/>
        <v>1155.3999999999999</v>
      </c>
      <c r="G55" s="136"/>
      <c r="H55" s="136"/>
      <c r="I55" s="136"/>
      <c r="J55" s="136"/>
      <c r="K55" s="136">
        <f t="shared" si="32"/>
        <v>1207.3400000000001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36"/>
      <c r="V55" s="115"/>
      <c r="W55" s="135"/>
      <c r="X55" s="135"/>
      <c r="Y55" s="135"/>
      <c r="Z55" s="135"/>
      <c r="AA55" s="97"/>
      <c r="AB55" s="97"/>
    </row>
    <row r="56" spans="1:28" ht="15">
      <c r="A56" s="115"/>
      <c r="B56" s="115"/>
      <c r="C56" s="136">
        <f t="shared" si="30"/>
        <v>1225.8000000000002</v>
      </c>
      <c r="D56" s="115"/>
      <c r="E56" s="115"/>
      <c r="F56" s="136">
        <f t="shared" si="31"/>
        <v>1237.1499999999999</v>
      </c>
      <c r="G56" s="136"/>
      <c r="H56" s="136"/>
      <c r="I56" s="136"/>
      <c r="J56" s="136"/>
      <c r="K56" s="136">
        <f t="shared" si="32"/>
        <v>1292.765</v>
      </c>
      <c r="L56" s="115"/>
      <c r="M56" s="115"/>
      <c r="N56" s="115"/>
      <c r="O56" s="115"/>
      <c r="P56" s="115"/>
      <c r="Q56" s="115"/>
      <c r="R56" s="115"/>
      <c r="S56" s="115"/>
      <c r="T56" s="115"/>
      <c r="U56" s="136"/>
      <c r="V56" s="115"/>
      <c r="W56" s="135"/>
      <c r="X56" s="135"/>
      <c r="Y56" s="135"/>
      <c r="Z56" s="135"/>
      <c r="AA56" s="97"/>
      <c r="AB56" s="97"/>
    </row>
    <row r="57" spans="1:28" ht="15">
      <c r="A57" s="115"/>
      <c r="B57" s="115"/>
      <c r="C57" s="136">
        <f t="shared" si="30"/>
        <v>1306.8</v>
      </c>
      <c r="D57" s="115"/>
      <c r="E57" s="115"/>
      <c r="F57" s="136">
        <f t="shared" si="31"/>
        <v>1318.8999999999999</v>
      </c>
      <c r="G57" s="136"/>
      <c r="H57" s="136"/>
      <c r="I57" s="136"/>
      <c r="J57" s="136"/>
      <c r="K57" s="136">
        <f t="shared" si="32"/>
        <v>1378.1899999999998</v>
      </c>
      <c r="L57" s="115"/>
      <c r="M57" s="115"/>
      <c r="N57" s="115"/>
      <c r="O57" s="115"/>
      <c r="P57" s="115"/>
      <c r="Q57" s="115"/>
      <c r="R57" s="115"/>
      <c r="S57" s="115"/>
      <c r="T57" s="115"/>
      <c r="U57" s="136"/>
      <c r="V57" s="115"/>
      <c r="W57" s="135"/>
      <c r="X57" s="135"/>
      <c r="Y57" s="135"/>
      <c r="Z57" s="135"/>
      <c r="AA57" s="97"/>
      <c r="AB57" s="97"/>
    </row>
    <row r="58" spans="1:28" ht="15">
      <c r="A58" s="115"/>
      <c r="B58" s="115"/>
      <c r="C58" s="136">
        <f t="shared" si="30"/>
        <v>1393.2000000000003</v>
      </c>
      <c r="D58" s="115"/>
      <c r="E58" s="115"/>
      <c r="F58" s="136">
        <f t="shared" si="31"/>
        <v>1406.1000000000001</v>
      </c>
      <c r="G58" s="136"/>
      <c r="H58" s="136"/>
      <c r="I58" s="136"/>
      <c r="J58" s="136"/>
      <c r="K58" s="136">
        <f t="shared" si="32"/>
        <v>1469.3100000000002</v>
      </c>
      <c r="L58" s="115"/>
      <c r="M58" s="115"/>
      <c r="N58" s="115"/>
      <c r="O58" s="115"/>
      <c r="P58" s="115"/>
      <c r="Q58" s="115"/>
      <c r="R58" s="115"/>
      <c r="S58" s="115"/>
      <c r="T58" s="115"/>
      <c r="U58" s="136"/>
      <c r="V58" s="115"/>
      <c r="W58" s="135"/>
      <c r="X58" s="135"/>
      <c r="Y58" s="135"/>
      <c r="Z58" s="135"/>
      <c r="AA58" s="97"/>
      <c r="AB58" s="97"/>
    </row>
    <row r="59" spans="1:28" ht="15">
      <c r="A59" s="115"/>
      <c r="B59" s="115"/>
      <c r="C59" s="136">
        <f t="shared" si="30"/>
        <v>1506.6000000000001</v>
      </c>
      <c r="D59" s="115"/>
      <c r="E59" s="115"/>
      <c r="F59" s="136">
        <f t="shared" si="31"/>
        <v>1520.55</v>
      </c>
      <c r="G59" s="136"/>
      <c r="H59" s="136"/>
      <c r="I59" s="136"/>
      <c r="J59" s="136"/>
      <c r="K59" s="136">
        <f t="shared" si="32"/>
        <v>1588.905</v>
      </c>
      <c r="L59" s="115"/>
      <c r="M59" s="115"/>
      <c r="N59" s="115"/>
      <c r="O59" s="115"/>
      <c r="P59" s="115"/>
      <c r="Q59" s="115"/>
      <c r="R59" s="115"/>
      <c r="S59" s="115"/>
      <c r="T59" s="115"/>
      <c r="U59" s="136"/>
      <c r="V59" s="115"/>
      <c r="W59" s="135"/>
      <c r="X59" s="135"/>
      <c r="Y59" s="135"/>
      <c r="Z59" s="135"/>
      <c r="AA59" s="97"/>
      <c r="AB59" s="97"/>
    </row>
    <row r="60" spans="1:28" ht="15">
      <c r="A60" s="115"/>
      <c r="B60" s="115"/>
      <c r="C60" s="136">
        <f t="shared" si="30"/>
        <v>1620</v>
      </c>
      <c r="D60" s="115"/>
      <c r="E60" s="115"/>
      <c r="F60" s="136">
        <f t="shared" si="31"/>
        <v>1635</v>
      </c>
      <c r="G60" s="136"/>
      <c r="H60" s="136"/>
      <c r="I60" s="136"/>
      <c r="J60" s="136"/>
      <c r="K60" s="136">
        <f t="shared" si="32"/>
        <v>1708.5</v>
      </c>
      <c r="L60" s="115"/>
      <c r="M60" s="115"/>
      <c r="N60" s="115"/>
      <c r="O60" s="115"/>
      <c r="P60" s="115"/>
      <c r="Q60" s="115"/>
      <c r="R60" s="115"/>
      <c r="S60" s="115"/>
      <c r="T60" s="115"/>
      <c r="U60" s="136"/>
      <c r="V60" s="115"/>
      <c r="W60" s="135"/>
      <c r="X60" s="135"/>
      <c r="Y60" s="135"/>
      <c r="Z60" s="135"/>
      <c r="AA60" s="97"/>
      <c r="AB60" s="97"/>
    </row>
    <row r="61" spans="1:28" ht="15">
      <c r="A61" s="115"/>
      <c r="B61" s="115"/>
      <c r="C61" s="136">
        <f t="shared" si="30"/>
        <v>1733.3999999999999</v>
      </c>
      <c r="D61" s="115"/>
      <c r="E61" s="115"/>
      <c r="F61" s="136">
        <f t="shared" si="31"/>
        <v>1749.45</v>
      </c>
      <c r="G61" s="136"/>
      <c r="H61" s="136"/>
      <c r="I61" s="136"/>
      <c r="J61" s="136"/>
      <c r="K61" s="136">
        <f t="shared" si="32"/>
        <v>1828.095</v>
      </c>
      <c r="L61" s="115"/>
      <c r="M61" s="115"/>
      <c r="N61" s="115"/>
      <c r="O61" s="115"/>
      <c r="P61" s="115"/>
      <c r="Q61" s="115"/>
      <c r="R61" s="115"/>
      <c r="S61" s="115"/>
      <c r="T61" s="115"/>
      <c r="U61" s="136"/>
      <c r="V61" s="115"/>
      <c r="W61" s="135"/>
      <c r="X61" s="135"/>
      <c r="Y61" s="135"/>
      <c r="Z61" s="135"/>
      <c r="AA61" s="97"/>
      <c r="AB61" s="97"/>
    </row>
    <row r="62" spans="1:28" ht="15">
      <c r="A62" s="115"/>
      <c r="B62" s="115"/>
      <c r="C62" s="136">
        <f t="shared" si="30"/>
        <v>1846.7999999999997</v>
      </c>
      <c r="D62" s="115"/>
      <c r="E62" s="115"/>
      <c r="F62" s="136">
        <f t="shared" si="31"/>
        <v>1863.8999999999999</v>
      </c>
      <c r="G62" s="136"/>
      <c r="H62" s="136"/>
      <c r="I62" s="136"/>
      <c r="J62" s="136"/>
      <c r="K62" s="136">
        <f t="shared" si="32"/>
        <v>1947.6899999999998</v>
      </c>
      <c r="L62" s="115"/>
      <c r="M62" s="115"/>
      <c r="N62" s="115"/>
      <c r="O62" s="115"/>
      <c r="P62" s="115"/>
      <c r="Q62" s="115"/>
      <c r="R62" s="115"/>
      <c r="S62" s="115"/>
      <c r="T62" s="115"/>
      <c r="U62" s="136"/>
      <c r="V62" s="115"/>
      <c r="W62" s="135"/>
      <c r="X62" s="135"/>
      <c r="Y62" s="135"/>
      <c r="Z62" s="135"/>
      <c r="AA62" s="97"/>
      <c r="AB62" s="97"/>
    </row>
    <row r="63" spans="1:28" ht="1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36"/>
      <c r="V63" s="115"/>
      <c r="W63" s="115"/>
      <c r="X63" s="115"/>
      <c r="Y63" s="115"/>
      <c r="Z63" s="115"/>
      <c r="AA63" s="97"/>
      <c r="AB63" s="97"/>
    </row>
    <row r="64" spans="1:28" ht="1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36"/>
      <c r="V64" s="115"/>
      <c r="W64" s="115"/>
      <c r="X64" s="115"/>
      <c r="Y64" s="115"/>
      <c r="Z64" s="115"/>
      <c r="AA64" s="97"/>
      <c r="AB64" s="97"/>
    </row>
    <row r="65" spans="1:28" ht="1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36"/>
      <c r="V65" s="115"/>
      <c r="W65" s="115"/>
      <c r="X65" s="115"/>
      <c r="Y65" s="115"/>
      <c r="Z65" s="115"/>
      <c r="AA65" s="97"/>
      <c r="AB65" s="97"/>
    </row>
    <row r="66" spans="1:28" ht="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36"/>
      <c r="V66" s="115"/>
      <c r="W66" s="115"/>
      <c r="X66" s="115"/>
      <c r="Y66" s="115"/>
      <c r="Z66" s="115"/>
      <c r="AA66" s="97"/>
      <c r="AB66" s="97"/>
    </row>
    <row r="67" spans="1:28" ht="1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36"/>
      <c r="V67" s="115"/>
      <c r="W67" s="115"/>
      <c r="X67" s="115"/>
      <c r="Y67" s="115"/>
      <c r="Z67" s="115"/>
      <c r="AA67" s="97"/>
      <c r="AB67" s="97"/>
    </row>
    <row r="68" spans="1:26" ht="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136"/>
      <c r="V68" s="98"/>
      <c r="W68" s="98"/>
      <c r="X68" s="98"/>
      <c r="Y68" s="98"/>
      <c r="Z68" s="98"/>
    </row>
    <row r="69" spans="1:26" ht="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136"/>
      <c r="V69" s="98"/>
      <c r="W69" s="98"/>
      <c r="X69" s="98"/>
      <c r="Y69" s="98"/>
      <c r="Z69" s="98"/>
    </row>
    <row r="70" spans="1:26" ht="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136"/>
      <c r="V70" s="98"/>
      <c r="W70" s="98"/>
      <c r="X70" s="98"/>
      <c r="Y70" s="98"/>
      <c r="Z70" s="98"/>
    </row>
    <row r="71" spans="1:26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36"/>
      <c r="V71" s="98"/>
      <c r="W71" s="98"/>
      <c r="X71" s="98"/>
      <c r="Y71" s="98"/>
      <c r="Z71" s="98"/>
    </row>
    <row r="72" spans="1:26" ht="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136"/>
      <c r="V72" s="98"/>
      <c r="W72" s="98"/>
      <c r="X72" s="98"/>
      <c r="Y72" s="98"/>
      <c r="Z72" s="98"/>
    </row>
    <row r="73" spans="1:26" ht="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136"/>
      <c r="V73" s="98"/>
      <c r="W73" s="98"/>
      <c r="X73" s="98"/>
      <c r="Y73" s="98"/>
      <c r="Z73" s="98"/>
    </row>
    <row r="74" spans="1:26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136"/>
      <c r="V74" s="98"/>
      <c r="W74" s="98"/>
      <c r="X74" s="98"/>
      <c r="Y74" s="98"/>
      <c r="Z74" s="98"/>
    </row>
    <row r="75" spans="1:26" ht="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136"/>
      <c r="V75" s="98"/>
      <c r="W75" s="98"/>
      <c r="X75" s="98"/>
      <c r="Y75" s="98"/>
      <c r="Z75" s="98"/>
    </row>
    <row r="76" spans="1:26" ht="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136"/>
      <c r="V76" s="98"/>
      <c r="W76" s="98"/>
      <c r="X76" s="98"/>
      <c r="Y76" s="98"/>
      <c r="Z76" s="98"/>
    </row>
    <row r="77" spans="1:26" ht="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136"/>
      <c r="V77" s="98"/>
      <c r="W77" s="98"/>
      <c r="X77" s="98"/>
      <c r="Y77" s="98"/>
      <c r="Z77" s="98"/>
    </row>
    <row r="78" spans="1:26" ht="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136"/>
      <c r="V78" s="98"/>
      <c r="W78" s="98"/>
      <c r="X78" s="98"/>
      <c r="Y78" s="98"/>
      <c r="Z78" s="98"/>
    </row>
    <row r="79" spans="1:26" ht="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136"/>
      <c r="V79" s="98"/>
      <c r="W79" s="98"/>
      <c r="X79" s="98"/>
      <c r="Y79" s="98"/>
      <c r="Z79" s="98"/>
    </row>
    <row r="80" spans="1:26" ht="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136"/>
      <c r="V80" s="98"/>
      <c r="W80" s="98"/>
      <c r="X80" s="98"/>
      <c r="Y80" s="98"/>
      <c r="Z80" s="98"/>
    </row>
    <row r="81" spans="1:26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136"/>
      <c r="V81" s="98"/>
      <c r="W81" s="98"/>
      <c r="X81" s="98"/>
      <c r="Y81" s="98"/>
      <c r="Z81" s="98"/>
    </row>
    <row r="82" spans="1:26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136"/>
      <c r="V82" s="98"/>
      <c r="W82" s="98"/>
      <c r="X82" s="98"/>
      <c r="Y82" s="98"/>
      <c r="Z82" s="98"/>
    </row>
    <row r="83" spans="1:26" ht="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452" spans="2:5" ht="12.75">
      <c r="B452" s="6" t="s">
        <v>411</v>
      </c>
      <c r="D452">
        <v>9</v>
      </c>
      <c r="E452">
        <v>1451</v>
      </c>
    </row>
    <row r="488" ht="12.75">
      <c r="C488">
        <f>49.75-1.75</f>
        <v>48</v>
      </c>
    </row>
    <row r="493" ht="12.75">
      <c r="C493" s="13"/>
    </row>
    <row r="708" ht="12.75">
      <c r="C708">
        <f>6.75+1.75</f>
        <v>8.5</v>
      </c>
    </row>
  </sheetData>
  <sheetProtection/>
  <mergeCells count="9">
    <mergeCell ref="A42:B42"/>
    <mergeCell ref="A41:B41"/>
    <mergeCell ref="A33:B33"/>
    <mergeCell ref="AA3:AB3"/>
    <mergeCell ref="A1:B1"/>
    <mergeCell ref="U3:Z3"/>
    <mergeCell ref="B3:E3"/>
    <mergeCell ref="F3:J3"/>
    <mergeCell ref="K3:M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93"/>
  <sheetViews>
    <sheetView view="pageBreakPreview" zoomScaleSheetLayoutView="100" zoomScalePageLayoutView="0" workbookViewId="0" topLeftCell="A8">
      <pane ySplit="2925" topLeftCell="A451" activePane="bottomLeft" state="split"/>
      <selection pane="topLeft" activeCell="C9" sqref="C9"/>
      <selection pane="bottomLeft" activeCell="U736" sqref="U736"/>
    </sheetView>
  </sheetViews>
  <sheetFormatPr defaultColWidth="9.140625" defaultRowHeight="12.75"/>
  <cols>
    <col min="1" max="1" width="3.28125" style="0" customWidth="1"/>
    <col min="2" max="2" width="28.28125" style="0" customWidth="1"/>
    <col min="3" max="3" width="7.140625" style="0" customWidth="1"/>
    <col min="4" max="4" width="5.28125" style="0" customWidth="1"/>
    <col min="5" max="5" width="5.8515625" style="0" customWidth="1"/>
    <col min="6" max="6" width="7.28125" style="0" customWidth="1"/>
    <col min="7" max="7" width="7.57421875" style="0" customWidth="1"/>
    <col min="8" max="8" width="6.421875" style="0" customWidth="1"/>
    <col min="9" max="10" width="6.8515625" style="0" customWidth="1"/>
    <col min="11" max="11" width="6.140625" style="0" customWidth="1"/>
    <col min="12" max="12" width="5.421875" style="0" customWidth="1"/>
    <col min="13" max="13" width="6.00390625" style="0" customWidth="1"/>
    <col min="14" max="14" width="4.57421875" style="0" customWidth="1"/>
    <col min="15" max="15" width="6.421875" style="0" customWidth="1"/>
    <col min="16" max="16" width="6.28125" style="0" customWidth="1"/>
    <col min="17" max="17" width="8.421875" style="0" customWidth="1"/>
    <col min="18" max="18" width="6.140625" style="0" hidden="1" customWidth="1"/>
    <col min="19" max="19" width="10.00390625" style="0" customWidth="1"/>
    <col min="20" max="20" width="12.00390625" style="0" bestFit="1" customWidth="1"/>
    <col min="22" max="22" width="9.57421875" style="0" bestFit="1" customWidth="1"/>
  </cols>
  <sheetData>
    <row r="1" spans="1:19" ht="15">
      <c r="A1" s="14"/>
      <c r="B1" s="188" t="s">
        <v>540</v>
      </c>
      <c r="C1" s="188"/>
      <c r="D1" s="188"/>
      <c r="E1" s="188"/>
      <c r="F1" s="17"/>
      <c r="G1" s="17"/>
      <c r="H1" s="189" t="s">
        <v>6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5">
      <c r="A2" s="14"/>
      <c r="B2" s="188" t="s">
        <v>7</v>
      </c>
      <c r="C2" s="188"/>
      <c r="D2" s="188"/>
      <c r="E2" s="188"/>
      <c r="F2" s="17"/>
      <c r="G2" s="17"/>
      <c r="H2" s="190" t="s">
        <v>476</v>
      </c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ht="15">
      <c r="A3" s="14"/>
      <c r="B3" s="169" t="s">
        <v>8</v>
      </c>
      <c r="C3" s="169"/>
      <c r="D3" s="169"/>
      <c r="E3" s="169"/>
      <c r="F3" s="18"/>
      <c r="G3" s="17"/>
      <c r="H3" s="188" t="s">
        <v>477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>
      <c r="A4" s="14"/>
      <c r="B4" s="188" t="s">
        <v>427</v>
      </c>
      <c r="C4" s="188"/>
      <c r="D4" s="188"/>
      <c r="E4" s="188"/>
      <c r="F4" s="188"/>
      <c r="G4" s="17"/>
      <c r="H4" s="191" t="s">
        <v>478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>
      <c r="A5" s="14"/>
      <c r="B5" s="17" t="s">
        <v>324</v>
      </c>
      <c r="C5" s="17"/>
      <c r="D5" s="17"/>
      <c r="E5" s="17"/>
      <c r="F5" s="17"/>
      <c r="G5" s="17"/>
      <c r="H5" s="188" t="s">
        <v>448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>
      <c r="A6" s="14"/>
      <c r="B6" s="17"/>
      <c r="C6" s="17"/>
      <c r="D6" s="17"/>
      <c r="E6" s="17"/>
      <c r="F6" s="17"/>
      <c r="G6" s="17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>
      <c r="A7" s="14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>
      <c r="A8" s="14"/>
      <c r="B8" s="17"/>
      <c r="C8" s="17"/>
      <c r="D8" s="17"/>
      <c r="E8" s="17"/>
      <c r="F8" s="17"/>
      <c r="G8" s="17"/>
      <c r="H8" s="17"/>
      <c r="I8" s="169" t="s">
        <v>479</v>
      </c>
      <c r="J8" s="169"/>
      <c r="K8" s="169"/>
      <c r="L8" s="169"/>
      <c r="M8" s="169"/>
      <c r="N8" s="169"/>
      <c r="O8" s="169"/>
      <c r="P8" s="169"/>
      <c r="Q8" s="169"/>
      <c r="R8" s="18"/>
      <c r="S8" s="18"/>
    </row>
    <row r="9" spans="1:19" ht="15">
      <c r="A9" s="14"/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6">
        <v>42005</v>
      </c>
      <c r="R10" s="176"/>
      <c r="S10" s="176"/>
    </row>
    <row r="11" spans="1:19" ht="12.75" customHeight="1">
      <c r="A11" s="173" t="s">
        <v>272</v>
      </c>
      <c r="B11" s="173" t="s">
        <v>0</v>
      </c>
      <c r="C11" s="173" t="s">
        <v>1</v>
      </c>
      <c r="D11" s="173" t="s">
        <v>319</v>
      </c>
      <c r="E11" s="173" t="s">
        <v>322</v>
      </c>
      <c r="F11" s="173" t="s">
        <v>283</v>
      </c>
      <c r="G11" s="185" t="s">
        <v>2</v>
      </c>
      <c r="H11" s="185"/>
      <c r="I11" s="185"/>
      <c r="J11" s="185" t="s">
        <v>3</v>
      </c>
      <c r="K11" s="185"/>
      <c r="L11" s="185"/>
      <c r="M11" s="185"/>
      <c r="N11" s="185"/>
      <c r="O11" s="185"/>
      <c r="P11" s="185" t="s">
        <v>321</v>
      </c>
      <c r="Q11" s="173" t="s">
        <v>271</v>
      </c>
      <c r="R11" s="19"/>
      <c r="S11" s="173" t="s">
        <v>539</v>
      </c>
    </row>
    <row r="12" spans="1:19" ht="12.75">
      <c r="A12" s="174"/>
      <c r="B12" s="174"/>
      <c r="C12" s="174"/>
      <c r="D12" s="174"/>
      <c r="E12" s="174"/>
      <c r="F12" s="174"/>
      <c r="G12" s="173" t="s">
        <v>263</v>
      </c>
      <c r="H12" s="173" t="s">
        <v>221</v>
      </c>
      <c r="I12" s="186" t="s">
        <v>316</v>
      </c>
      <c r="J12" s="173" t="s">
        <v>286</v>
      </c>
      <c r="K12" s="173" t="s">
        <v>231</v>
      </c>
      <c r="L12" s="173" t="s">
        <v>230</v>
      </c>
      <c r="M12" s="173" t="s">
        <v>4</v>
      </c>
      <c r="N12" s="173" t="s">
        <v>317</v>
      </c>
      <c r="O12" s="183" t="s">
        <v>318</v>
      </c>
      <c r="P12" s="185"/>
      <c r="Q12" s="174"/>
      <c r="R12" s="120"/>
      <c r="S12" s="174"/>
    </row>
    <row r="13" spans="1:19" ht="65.25" customHeight="1">
      <c r="A13" s="175"/>
      <c r="B13" s="175"/>
      <c r="C13" s="175"/>
      <c r="D13" s="175"/>
      <c r="E13" s="175"/>
      <c r="F13" s="175"/>
      <c r="G13" s="175"/>
      <c r="H13" s="175"/>
      <c r="I13" s="187"/>
      <c r="J13" s="175"/>
      <c r="K13" s="175"/>
      <c r="L13" s="175"/>
      <c r="M13" s="175"/>
      <c r="N13" s="175"/>
      <c r="O13" s="184"/>
      <c r="P13" s="185"/>
      <c r="Q13" s="175"/>
      <c r="R13" s="120"/>
      <c r="S13" s="175"/>
    </row>
    <row r="14" spans="1:19" ht="12.75">
      <c r="A14" s="10">
        <v>1</v>
      </c>
      <c r="B14" s="10">
        <f>A14+1</f>
        <v>2</v>
      </c>
      <c r="C14" s="10">
        <f>B14+1</f>
        <v>3</v>
      </c>
      <c r="D14" s="10">
        <f>C14+1</f>
        <v>4</v>
      </c>
      <c r="E14" s="10">
        <f>D14+1</f>
        <v>5</v>
      </c>
      <c r="F14" s="10">
        <v>6</v>
      </c>
      <c r="G14" s="10">
        <f aca="true" t="shared" si="0" ref="G14:R14">F14+1</f>
        <v>7</v>
      </c>
      <c r="H14" s="10">
        <f t="shared" si="0"/>
        <v>8</v>
      </c>
      <c r="I14" s="10">
        <f t="shared" si="0"/>
        <v>9</v>
      </c>
      <c r="J14" s="10">
        <f t="shared" si="0"/>
        <v>10</v>
      </c>
      <c r="K14" s="10">
        <f t="shared" si="0"/>
        <v>11</v>
      </c>
      <c r="L14" s="10">
        <f t="shared" si="0"/>
        <v>12</v>
      </c>
      <c r="M14" s="10">
        <f t="shared" si="0"/>
        <v>13</v>
      </c>
      <c r="N14" s="10">
        <f t="shared" si="0"/>
        <v>14</v>
      </c>
      <c r="O14" s="10">
        <f t="shared" si="0"/>
        <v>15</v>
      </c>
      <c r="P14" s="10">
        <f t="shared" si="0"/>
        <v>16</v>
      </c>
      <c r="Q14" s="10">
        <f t="shared" si="0"/>
        <v>17</v>
      </c>
      <c r="R14" s="10">
        <f t="shared" si="0"/>
        <v>18</v>
      </c>
      <c r="S14" s="10">
        <f>R14</f>
        <v>18</v>
      </c>
    </row>
    <row r="15" spans="1:19" ht="12.75" customHeight="1">
      <c r="A15" s="171" t="s">
        <v>187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</row>
    <row r="16" spans="1:19" ht="12.75" customHeight="1">
      <c r="A16" s="157" t="s">
        <v>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</row>
    <row r="17" spans="1:19" ht="15" customHeight="1">
      <c r="A17" s="10" t="s">
        <v>9</v>
      </c>
      <c r="B17" s="20" t="s">
        <v>556</v>
      </c>
      <c r="C17" s="10">
        <v>1</v>
      </c>
      <c r="D17" s="10">
        <v>24</v>
      </c>
      <c r="E17" s="10">
        <v>3715</v>
      </c>
      <c r="F17" s="10">
        <f aca="true" t="shared" si="1" ref="F17:F22">E17*C17</f>
        <v>3715</v>
      </c>
      <c r="G17" s="11"/>
      <c r="H17" s="11"/>
      <c r="I17" s="11">
        <f>E17*C17*0.3</f>
        <v>1114.5</v>
      </c>
      <c r="J17" s="11">
        <f>E17*C17*0.15</f>
        <v>557.25</v>
      </c>
      <c r="K17" s="11">
        <f>E17*0.33*C17</f>
        <v>1225.95</v>
      </c>
      <c r="L17" s="11"/>
      <c r="M17" s="11"/>
      <c r="N17" s="11"/>
      <c r="O17" s="10"/>
      <c r="P17" s="11">
        <f>SUM(G17:O17)</f>
        <v>2897.7</v>
      </c>
      <c r="Q17" s="11">
        <f aca="true" t="shared" si="2" ref="Q17:Q22">SUM(F17:O17)</f>
        <v>6612.7</v>
      </c>
      <c r="R17" s="11">
        <v>12</v>
      </c>
      <c r="S17" s="11">
        <f aca="true" t="shared" si="3" ref="S17:S22">Q17*$R$17</f>
        <v>79352.4</v>
      </c>
    </row>
    <row r="18" spans="1:20" ht="12.75" customHeight="1">
      <c r="A18" s="10" t="s">
        <v>11</v>
      </c>
      <c r="B18" s="21" t="s">
        <v>188</v>
      </c>
      <c r="C18" s="10">
        <v>1</v>
      </c>
      <c r="D18" s="10"/>
      <c r="E18" s="11">
        <v>3344</v>
      </c>
      <c r="F18" s="10">
        <f t="shared" si="1"/>
        <v>3344</v>
      </c>
      <c r="G18" s="22"/>
      <c r="H18" s="11"/>
      <c r="I18" s="11">
        <f>E18*C18*0.3</f>
        <v>1003.1999999999999</v>
      </c>
      <c r="J18" s="11">
        <f>E18*C18*0.25</f>
        <v>836</v>
      </c>
      <c r="K18" s="11">
        <f>E18*0.33*C18</f>
        <v>1103.52</v>
      </c>
      <c r="L18" s="11"/>
      <c r="M18" s="11"/>
      <c r="N18" s="11"/>
      <c r="O18" s="10"/>
      <c r="P18" s="11">
        <f>SUM(G18:O18)</f>
        <v>2942.72</v>
      </c>
      <c r="Q18" s="11">
        <f t="shared" si="2"/>
        <v>6286.719999999999</v>
      </c>
      <c r="R18" s="11"/>
      <c r="S18" s="11">
        <f t="shared" si="3"/>
        <v>75440.63999999998</v>
      </c>
      <c r="T18" s="108"/>
    </row>
    <row r="19" spans="1:19" ht="12.75" customHeight="1">
      <c r="A19" s="10" t="s">
        <v>10</v>
      </c>
      <c r="B19" s="21" t="s">
        <v>188</v>
      </c>
      <c r="C19" s="10">
        <v>1</v>
      </c>
      <c r="D19" s="10"/>
      <c r="E19" s="11">
        <v>3344</v>
      </c>
      <c r="F19" s="10">
        <f t="shared" si="1"/>
        <v>3344</v>
      </c>
      <c r="G19" s="11"/>
      <c r="H19" s="11">
        <f>E19*0.2*C19</f>
        <v>668.8000000000001</v>
      </c>
      <c r="I19" s="11">
        <f>E19*C19*0.3</f>
        <v>1003.1999999999999</v>
      </c>
      <c r="J19" s="11">
        <f>E19*C19*0.25</f>
        <v>836</v>
      </c>
      <c r="K19" s="11">
        <f>E19*0.33*C19</f>
        <v>1103.52</v>
      </c>
      <c r="L19" s="11"/>
      <c r="M19" s="11"/>
      <c r="N19" s="11"/>
      <c r="O19" s="10"/>
      <c r="P19" s="11">
        <f>SUM(G19:O19)</f>
        <v>3611.52</v>
      </c>
      <c r="Q19" s="11">
        <f t="shared" si="2"/>
        <v>6955.52</v>
      </c>
      <c r="R19" s="11"/>
      <c r="S19" s="11">
        <f t="shared" si="3"/>
        <v>83466.24</v>
      </c>
    </row>
    <row r="20" spans="1:19" ht="12.75" customHeight="1">
      <c r="A20" s="10" t="s">
        <v>13</v>
      </c>
      <c r="B20" s="21" t="s">
        <v>12</v>
      </c>
      <c r="C20" s="10">
        <v>1</v>
      </c>
      <c r="D20" s="10"/>
      <c r="E20" s="11">
        <v>3344</v>
      </c>
      <c r="F20" s="10">
        <f t="shared" si="1"/>
        <v>3344</v>
      </c>
      <c r="G20" s="11"/>
      <c r="H20" s="11"/>
      <c r="I20" s="11"/>
      <c r="J20" s="11"/>
      <c r="K20" s="11"/>
      <c r="L20" s="11"/>
      <c r="M20" s="11"/>
      <c r="N20" s="11"/>
      <c r="O20" s="10"/>
      <c r="P20" s="11"/>
      <c r="Q20" s="11">
        <f t="shared" si="2"/>
        <v>3344</v>
      </c>
      <c r="R20" s="11"/>
      <c r="S20" s="11">
        <f t="shared" si="3"/>
        <v>40128</v>
      </c>
    </row>
    <row r="21" spans="1:19" ht="12.75" customHeight="1">
      <c r="A21" s="10" t="s">
        <v>19</v>
      </c>
      <c r="B21" s="21" t="s">
        <v>200</v>
      </c>
      <c r="C21" s="7">
        <v>2</v>
      </c>
      <c r="D21" s="7">
        <v>21</v>
      </c>
      <c r="E21" s="10">
        <v>3280</v>
      </c>
      <c r="F21" s="10">
        <f t="shared" si="1"/>
        <v>6560</v>
      </c>
      <c r="G21" s="4"/>
      <c r="H21" s="11">
        <f>E21*0.2</f>
        <v>656</v>
      </c>
      <c r="I21" s="11">
        <f>E21*C21*0.3</f>
        <v>1968</v>
      </c>
      <c r="J21" s="11">
        <f>E21*C21*0.25</f>
        <v>1640</v>
      </c>
      <c r="K21" s="11">
        <f>E21*0.33*C21</f>
        <v>2164.8</v>
      </c>
      <c r="L21" s="23"/>
      <c r="M21" s="4"/>
      <c r="N21" s="4"/>
      <c r="O21" s="7"/>
      <c r="P21" s="11">
        <f>SUM(G21:O21)</f>
        <v>6428.8</v>
      </c>
      <c r="Q21" s="11">
        <f t="shared" si="2"/>
        <v>12988.8</v>
      </c>
      <c r="R21" s="11"/>
      <c r="S21" s="11">
        <f t="shared" si="3"/>
        <v>155865.59999999998</v>
      </c>
    </row>
    <row r="22" spans="1:19" ht="12.75" customHeight="1">
      <c r="A22" s="10" t="s">
        <v>20</v>
      </c>
      <c r="B22" s="21" t="s">
        <v>201</v>
      </c>
      <c r="C22" s="10">
        <v>4</v>
      </c>
      <c r="D22" s="10">
        <v>21</v>
      </c>
      <c r="E22" s="10">
        <v>3280</v>
      </c>
      <c r="F22" s="10">
        <f t="shared" si="1"/>
        <v>13120</v>
      </c>
      <c r="G22" s="11"/>
      <c r="H22" s="11"/>
      <c r="I22" s="11">
        <f>E22*1*0.2+E22*0.3*3</f>
        <v>3608</v>
      </c>
      <c r="J22" s="11">
        <f>E22*C22*0.15</f>
        <v>1968</v>
      </c>
      <c r="K22" s="11">
        <f>E22*0.25*C22</f>
        <v>3280</v>
      </c>
      <c r="L22" s="11"/>
      <c r="M22" s="11"/>
      <c r="N22" s="11"/>
      <c r="O22" s="10"/>
      <c r="P22" s="11">
        <f>SUM(G22:O22)</f>
        <v>8856</v>
      </c>
      <c r="Q22" s="11">
        <f t="shared" si="2"/>
        <v>21976</v>
      </c>
      <c r="R22" s="11"/>
      <c r="S22" s="11">
        <f t="shared" si="3"/>
        <v>263712</v>
      </c>
    </row>
    <row r="23" spans="1:21" ht="12.75" customHeight="1">
      <c r="A23" s="10"/>
      <c r="B23" s="21" t="s">
        <v>14</v>
      </c>
      <c r="C23" s="10">
        <f>SUM(C17:C22)</f>
        <v>10</v>
      </c>
      <c r="D23" s="10"/>
      <c r="E23" s="10"/>
      <c r="F23" s="10">
        <f>SUM(F17:F22)</f>
        <v>33427</v>
      </c>
      <c r="G23" s="10"/>
      <c r="H23" s="11">
        <f>SUM(H17:H22)</f>
        <v>1324.8000000000002</v>
      </c>
      <c r="I23" s="11">
        <f>SUM(I17:I22)</f>
        <v>8696.9</v>
      </c>
      <c r="J23" s="11">
        <f>SUM(J17:J22)</f>
        <v>5837.25</v>
      </c>
      <c r="K23" s="11">
        <f>SUM(K17:K22)</f>
        <v>8877.79</v>
      </c>
      <c r="L23" s="11"/>
      <c r="M23" s="11"/>
      <c r="N23" s="11"/>
      <c r="O23" s="11"/>
      <c r="P23" s="11">
        <f>SUM(P17:P22)</f>
        <v>24736.74</v>
      </c>
      <c r="Q23" s="11">
        <f>SUM(Q17:Q22)</f>
        <v>58163.74</v>
      </c>
      <c r="R23" s="11">
        <f>SUM(R17:R22)</f>
        <v>12</v>
      </c>
      <c r="S23" s="11">
        <f>SUM(S17:S22)</f>
        <v>697964.8799999999</v>
      </c>
      <c r="U23" s="12"/>
    </row>
    <row r="24" spans="1:19" ht="12.75" customHeight="1">
      <c r="A24" s="157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95"/>
      <c r="Q24" s="195"/>
      <c r="R24" s="195"/>
      <c r="S24" s="196"/>
    </row>
    <row r="25" spans="1:19" ht="12.75" customHeight="1">
      <c r="A25" s="192">
        <v>1</v>
      </c>
      <c r="B25" s="24" t="s">
        <v>545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>
      <c r="A26" s="193"/>
      <c r="B26" s="25" t="s">
        <v>546</v>
      </c>
      <c r="C26" s="7">
        <v>4</v>
      </c>
      <c r="D26" s="7">
        <v>21</v>
      </c>
      <c r="E26" s="7">
        <v>3280</v>
      </c>
      <c r="F26" s="7">
        <f>E26*C26*2</f>
        <v>26240</v>
      </c>
      <c r="G26" s="7"/>
      <c r="H26" s="4">
        <f>E26*0.2*2</f>
        <v>1312</v>
      </c>
      <c r="I26" s="4">
        <f>F26*0.3-68.6</f>
        <v>7803.4</v>
      </c>
      <c r="J26" s="4">
        <f>F26*0.25</f>
        <v>6560</v>
      </c>
      <c r="K26" s="4">
        <f>F26*0.33</f>
        <v>8659.2</v>
      </c>
      <c r="L26" s="4"/>
      <c r="M26" s="4"/>
      <c r="N26" s="4"/>
      <c r="O26" s="4"/>
      <c r="P26" s="4">
        <f aca="true" t="shared" si="4" ref="P26:P45">SUM(G26:O26)</f>
        <v>24334.6</v>
      </c>
      <c r="Q26" s="4">
        <f aca="true" t="shared" si="5" ref="Q26:Q45">SUM(F26:O26)</f>
        <v>50574.600000000006</v>
      </c>
      <c r="R26" s="4"/>
      <c r="S26" s="4">
        <f aca="true" t="shared" si="6" ref="S26:S45">Q26*$R$17</f>
        <v>606895.2000000001</v>
      </c>
    </row>
    <row r="27" spans="1:19" ht="12.75" customHeight="1">
      <c r="A27" s="193"/>
      <c r="B27" s="25" t="s">
        <v>371</v>
      </c>
      <c r="C27" s="7">
        <v>24</v>
      </c>
      <c r="D27" s="7">
        <v>21</v>
      </c>
      <c r="E27" s="7">
        <v>3280</v>
      </c>
      <c r="F27" s="7">
        <f>E27*C27-E27*4+1019*4</f>
        <v>69676</v>
      </c>
      <c r="G27" s="7"/>
      <c r="H27" s="4"/>
      <c r="I27" s="4">
        <f>E27*0.3*C27-E27*0.3*3-95.84</f>
        <v>20568.16</v>
      </c>
      <c r="J27" s="4">
        <f>E27*0.25*C27-E27*0.25*3</f>
        <v>17220</v>
      </c>
      <c r="K27" s="4">
        <f>E27*0.33*C27-E27*0.33*3</f>
        <v>22730.4</v>
      </c>
      <c r="L27" s="4"/>
      <c r="M27" s="4"/>
      <c r="N27" s="4"/>
      <c r="O27" s="4"/>
      <c r="P27" s="4">
        <f t="shared" si="4"/>
        <v>60518.560000000005</v>
      </c>
      <c r="Q27" s="4">
        <f t="shared" si="5"/>
        <v>130194.56</v>
      </c>
      <c r="R27" s="4"/>
      <c r="S27" s="4">
        <f t="shared" si="6"/>
        <v>1562334.72</v>
      </c>
    </row>
    <row r="28" spans="1:19" ht="12.75" customHeight="1">
      <c r="A28" s="193"/>
      <c r="B28" s="25" t="s">
        <v>372</v>
      </c>
      <c r="C28" s="7">
        <v>3</v>
      </c>
      <c r="D28" s="7">
        <v>20</v>
      </c>
      <c r="E28" s="7">
        <v>3101</v>
      </c>
      <c r="F28" s="7">
        <f aca="true" t="shared" si="7" ref="F28:F45">E28*C28</f>
        <v>9303</v>
      </c>
      <c r="G28" s="7"/>
      <c r="H28" s="4"/>
      <c r="I28" s="4">
        <f aca="true" t="shared" si="8" ref="I28:I33">E28*C28*0.3</f>
        <v>2790.9</v>
      </c>
      <c r="J28" s="4">
        <f>E28*C28*0.15</f>
        <v>1395.45</v>
      </c>
      <c r="K28" s="4">
        <f>E28*0.33*C28</f>
        <v>3069.9900000000002</v>
      </c>
      <c r="L28" s="4"/>
      <c r="M28" s="4"/>
      <c r="N28" s="4"/>
      <c r="O28" s="4"/>
      <c r="P28" s="4">
        <f t="shared" si="4"/>
        <v>7256.34</v>
      </c>
      <c r="Q28" s="4">
        <f t="shared" si="5"/>
        <v>16559.34</v>
      </c>
      <c r="R28" s="4"/>
      <c r="S28" s="4">
        <f t="shared" si="6"/>
        <v>198712.08000000002</v>
      </c>
    </row>
    <row r="29" spans="1:19" ht="12.75" customHeight="1">
      <c r="A29" s="193"/>
      <c r="B29" s="25" t="s">
        <v>557</v>
      </c>
      <c r="C29" s="7">
        <v>2</v>
      </c>
      <c r="D29" s="7">
        <v>19</v>
      </c>
      <c r="E29" s="7">
        <v>2377</v>
      </c>
      <c r="F29" s="7">
        <f t="shared" si="7"/>
        <v>4754</v>
      </c>
      <c r="G29" s="7"/>
      <c r="H29" s="4"/>
      <c r="I29" s="4">
        <f t="shared" si="8"/>
        <v>1426.2</v>
      </c>
      <c r="J29" s="4">
        <f>E29*C29*0.25</f>
        <v>1188.5</v>
      </c>
      <c r="K29" s="4">
        <f>E29*0.25*C29</f>
        <v>1188.5</v>
      </c>
      <c r="L29" s="4">
        <f>E29*C29*0.04</f>
        <v>190.16</v>
      </c>
      <c r="M29" s="4"/>
      <c r="N29" s="4"/>
      <c r="O29" s="4"/>
      <c r="P29" s="4">
        <f t="shared" si="4"/>
        <v>3993.3599999999997</v>
      </c>
      <c r="Q29" s="4">
        <f t="shared" si="5"/>
        <v>8747.36</v>
      </c>
      <c r="R29" s="4"/>
      <c r="S29" s="4">
        <f t="shared" si="6"/>
        <v>104968.32</v>
      </c>
    </row>
    <row r="30" spans="1:19" ht="12.75" customHeight="1">
      <c r="A30" s="193"/>
      <c r="B30" s="25" t="s">
        <v>473</v>
      </c>
      <c r="C30" s="7">
        <v>6</v>
      </c>
      <c r="D30" s="7">
        <v>19</v>
      </c>
      <c r="E30" s="7">
        <v>2914</v>
      </c>
      <c r="F30" s="7">
        <f t="shared" si="7"/>
        <v>17484</v>
      </c>
      <c r="G30" s="7"/>
      <c r="H30" s="4"/>
      <c r="I30" s="4">
        <f t="shared" si="8"/>
        <v>5245.2</v>
      </c>
      <c r="J30" s="4">
        <f>E30*C30*0.15</f>
        <v>2622.6</v>
      </c>
      <c r="K30" s="4">
        <f>E30*C30*0.25</f>
        <v>4371</v>
      </c>
      <c r="L30" s="4">
        <f>E30*C30*0.04</f>
        <v>699.36</v>
      </c>
      <c r="M30" s="4"/>
      <c r="N30" s="4"/>
      <c r="O30" s="4"/>
      <c r="P30" s="4">
        <f t="shared" si="4"/>
        <v>12938.16</v>
      </c>
      <c r="Q30" s="4">
        <f t="shared" si="5"/>
        <v>30422.16</v>
      </c>
      <c r="R30" s="4"/>
      <c r="S30" s="4">
        <f t="shared" si="6"/>
        <v>365065.92</v>
      </c>
    </row>
    <row r="31" spans="1:20" ht="24.75" customHeight="1">
      <c r="A31" s="194"/>
      <c r="B31" s="53" t="s">
        <v>547</v>
      </c>
      <c r="C31" s="8">
        <v>2</v>
      </c>
      <c r="D31" s="8">
        <v>17</v>
      </c>
      <c r="E31" s="8">
        <v>2556</v>
      </c>
      <c r="F31" s="8">
        <f t="shared" si="7"/>
        <v>5112</v>
      </c>
      <c r="G31" s="8"/>
      <c r="H31" s="9">
        <f>E31*1*0.1</f>
        <v>255.60000000000002</v>
      </c>
      <c r="I31" s="9">
        <f t="shared" si="8"/>
        <v>1533.6</v>
      </c>
      <c r="J31" s="9"/>
      <c r="K31" s="9"/>
      <c r="L31" s="9">
        <f>E31*C31*0.12</f>
        <v>613.4399999999999</v>
      </c>
      <c r="M31" s="9"/>
      <c r="N31" s="9"/>
      <c r="O31" s="9"/>
      <c r="P31" s="9">
        <f t="shared" si="4"/>
        <v>2402.64</v>
      </c>
      <c r="Q31" s="9">
        <f t="shared" si="5"/>
        <v>7514.64</v>
      </c>
      <c r="R31" s="9"/>
      <c r="S31" s="9">
        <f t="shared" si="6"/>
        <v>90175.68000000001</v>
      </c>
      <c r="T31" s="12"/>
    </row>
    <row r="32" spans="1:20" ht="12.75" customHeight="1">
      <c r="A32" s="10">
        <v>2</v>
      </c>
      <c r="B32" s="21" t="s">
        <v>17</v>
      </c>
      <c r="C32" s="48">
        <v>14.25</v>
      </c>
      <c r="D32" s="10">
        <v>20</v>
      </c>
      <c r="E32" s="10">
        <v>3101</v>
      </c>
      <c r="F32" s="11">
        <f t="shared" si="7"/>
        <v>44189.25</v>
      </c>
      <c r="G32" s="10"/>
      <c r="H32" s="11"/>
      <c r="I32" s="11">
        <f t="shared" si="8"/>
        <v>13256.775</v>
      </c>
      <c r="J32" s="11">
        <f>E32*C32*0.25</f>
        <v>11047.3125</v>
      </c>
      <c r="K32" s="11">
        <f>E32*C32*0.23-400</f>
        <v>9763.5275</v>
      </c>
      <c r="L32" s="11"/>
      <c r="M32" s="11"/>
      <c r="N32" s="11"/>
      <c r="O32" s="11"/>
      <c r="P32" s="11">
        <f t="shared" si="4"/>
        <v>34067.615000000005</v>
      </c>
      <c r="Q32" s="11">
        <f t="shared" si="5"/>
        <v>78256.86499999999</v>
      </c>
      <c r="R32" s="11"/>
      <c r="S32" s="11">
        <f t="shared" si="6"/>
        <v>939082.3799999999</v>
      </c>
      <c r="T32" s="12"/>
    </row>
    <row r="33" spans="1:20" ht="12.75" customHeight="1">
      <c r="A33" s="10">
        <f aca="true" t="shared" si="9" ref="A33:A45">A32+1</f>
        <v>3</v>
      </c>
      <c r="B33" s="21" t="s">
        <v>24</v>
      </c>
      <c r="C33" s="48">
        <v>3.75</v>
      </c>
      <c r="D33" s="10">
        <v>20</v>
      </c>
      <c r="E33" s="10">
        <v>3101</v>
      </c>
      <c r="F33" s="10">
        <f t="shared" si="7"/>
        <v>11628.75</v>
      </c>
      <c r="G33" s="10"/>
      <c r="H33" s="11"/>
      <c r="I33" s="11">
        <f t="shared" si="8"/>
        <v>3488.625</v>
      </c>
      <c r="J33" s="11">
        <f>E33*C33*0.15</f>
        <v>1744.3125</v>
      </c>
      <c r="K33" s="11">
        <f>E33*C33*0.33</f>
        <v>3837.4875</v>
      </c>
      <c r="L33" s="11"/>
      <c r="M33" s="11"/>
      <c r="N33" s="11"/>
      <c r="O33" s="11"/>
      <c r="P33" s="11">
        <f t="shared" si="4"/>
        <v>9070.425</v>
      </c>
      <c r="Q33" s="11">
        <f t="shared" si="5"/>
        <v>20699.175</v>
      </c>
      <c r="R33" s="11"/>
      <c r="S33" s="11">
        <f t="shared" si="6"/>
        <v>248390.09999999998</v>
      </c>
      <c r="T33" s="12"/>
    </row>
    <row r="34" spans="1:20" ht="12.75" customHeight="1">
      <c r="A34" s="10">
        <f t="shared" si="9"/>
        <v>4</v>
      </c>
      <c r="B34" s="21" t="s">
        <v>211</v>
      </c>
      <c r="C34" s="48">
        <v>15.25</v>
      </c>
      <c r="D34" s="10">
        <v>19</v>
      </c>
      <c r="E34" s="10">
        <v>2914</v>
      </c>
      <c r="F34" s="10">
        <f t="shared" si="7"/>
        <v>44438.5</v>
      </c>
      <c r="G34" s="10"/>
      <c r="H34" s="11"/>
      <c r="I34" s="11">
        <f>E34*C34*0.2</f>
        <v>8887.7</v>
      </c>
      <c r="J34" s="11">
        <f>E34*C34*0.15</f>
        <v>6665.775</v>
      </c>
      <c r="K34" s="11">
        <f>E34*C34*0.25</f>
        <v>11109.625</v>
      </c>
      <c r="L34" s="11"/>
      <c r="M34" s="11"/>
      <c r="N34" s="11"/>
      <c r="O34" s="11"/>
      <c r="P34" s="11">
        <f t="shared" si="4"/>
        <v>26663.1</v>
      </c>
      <c r="Q34" s="11">
        <f t="shared" si="5"/>
        <v>71101.6</v>
      </c>
      <c r="R34" s="11"/>
      <c r="S34" s="11">
        <f t="shared" si="6"/>
        <v>853219.2000000001</v>
      </c>
      <c r="T34" s="12"/>
    </row>
    <row r="35" spans="1:20" ht="12.75" customHeight="1">
      <c r="A35" s="10">
        <f t="shared" si="9"/>
        <v>5</v>
      </c>
      <c r="B35" s="21" t="s">
        <v>18</v>
      </c>
      <c r="C35" s="11">
        <v>105</v>
      </c>
      <c r="D35" s="10">
        <v>19</v>
      </c>
      <c r="E35" s="10">
        <v>2914</v>
      </c>
      <c r="F35" s="10">
        <f t="shared" si="7"/>
        <v>305970</v>
      </c>
      <c r="G35" s="10"/>
      <c r="H35" s="11">
        <f>E35*0.2*1</f>
        <v>582.8000000000001</v>
      </c>
      <c r="I35" s="11">
        <f>F35*0.25</f>
        <v>76492.5</v>
      </c>
      <c r="J35" s="11">
        <f>E35*C35*0.15</f>
        <v>45895.5</v>
      </c>
      <c r="K35" s="11">
        <f>E35*C35*0.25</f>
        <v>76492.5</v>
      </c>
      <c r="L35" s="11"/>
      <c r="M35" s="11">
        <f>E35*5*0.3</f>
        <v>4371</v>
      </c>
      <c r="N35" s="11"/>
      <c r="O35" s="11"/>
      <c r="P35" s="11">
        <f t="shared" si="4"/>
        <v>203834.3</v>
      </c>
      <c r="Q35" s="11">
        <f t="shared" si="5"/>
        <v>509804.3</v>
      </c>
      <c r="R35" s="11"/>
      <c r="S35" s="11">
        <f t="shared" si="6"/>
        <v>6117651.6</v>
      </c>
      <c r="T35" s="12"/>
    </row>
    <row r="36" spans="1:20" ht="12.75" customHeight="1">
      <c r="A36" s="10">
        <f t="shared" si="9"/>
        <v>6</v>
      </c>
      <c r="B36" s="21" t="s">
        <v>224</v>
      </c>
      <c r="C36" s="48">
        <v>4.5</v>
      </c>
      <c r="D36" s="10">
        <v>19</v>
      </c>
      <c r="E36" s="10">
        <v>2914</v>
      </c>
      <c r="F36" s="10">
        <f t="shared" si="7"/>
        <v>13113</v>
      </c>
      <c r="G36" s="48"/>
      <c r="H36" s="11"/>
      <c r="I36" s="11">
        <f>E36*C36*0.3</f>
        <v>3933.8999999999996</v>
      </c>
      <c r="J36" s="11"/>
      <c r="K36" s="11">
        <f>E36*C36*0.25</f>
        <v>3278.25</v>
      </c>
      <c r="L36" s="56"/>
      <c r="M36" s="11"/>
      <c r="N36" s="11"/>
      <c r="O36" s="11"/>
      <c r="P36" s="11">
        <f t="shared" si="4"/>
        <v>7212.15</v>
      </c>
      <c r="Q36" s="11">
        <f t="shared" si="5"/>
        <v>20325.15</v>
      </c>
      <c r="R36" s="11"/>
      <c r="S36" s="11">
        <f t="shared" si="6"/>
        <v>243901.80000000002</v>
      </c>
      <c r="T36" s="12"/>
    </row>
    <row r="37" spans="1:20" ht="12.75" customHeight="1">
      <c r="A37" s="10">
        <f t="shared" si="9"/>
        <v>7</v>
      </c>
      <c r="B37" s="21" t="s">
        <v>475</v>
      </c>
      <c r="C37" s="48">
        <v>5.25</v>
      </c>
      <c r="D37" s="10">
        <v>19</v>
      </c>
      <c r="E37" s="10">
        <v>2914</v>
      </c>
      <c r="F37" s="10">
        <f t="shared" si="7"/>
        <v>15298.5</v>
      </c>
      <c r="G37" s="10"/>
      <c r="H37" s="11"/>
      <c r="I37" s="11">
        <f>E37*C37*0.2</f>
        <v>3059.7000000000003</v>
      </c>
      <c r="J37" s="11">
        <f>E37*C37*0.15</f>
        <v>2294.775</v>
      </c>
      <c r="K37" s="11"/>
      <c r="L37" s="11"/>
      <c r="M37" s="11"/>
      <c r="N37" s="11"/>
      <c r="O37" s="11"/>
      <c r="P37" s="11">
        <f t="shared" si="4"/>
        <v>5354.475</v>
      </c>
      <c r="Q37" s="11">
        <f t="shared" si="5"/>
        <v>20652.975000000002</v>
      </c>
      <c r="R37" s="11"/>
      <c r="S37" s="11">
        <f t="shared" si="6"/>
        <v>247835.7</v>
      </c>
      <c r="T37" s="12"/>
    </row>
    <row r="38" spans="1:20" ht="12.75" customHeight="1">
      <c r="A38" s="10">
        <f t="shared" si="9"/>
        <v>8</v>
      </c>
      <c r="B38" s="21" t="s">
        <v>210</v>
      </c>
      <c r="C38" s="48">
        <v>18.25</v>
      </c>
      <c r="D38" s="10">
        <v>16</v>
      </c>
      <c r="E38" s="10">
        <v>2377</v>
      </c>
      <c r="F38" s="10">
        <f t="shared" si="7"/>
        <v>43380.25</v>
      </c>
      <c r="G38" s="10"/>
      <c r="H38" s="11"/>
      <c r="I38" s="11">
        <f>E38*C38*0.1</f>
        <v>4338.025000000001</v>
      </c>
      <c r="J38" s="11">
        <f>E38*10.75*0.15</f>
        <v>3832.9125</v>
      </c>
      <c r="K38" s="11"/>
      <c r="L38" s="11"/>
      <c r="M38" s="11">
        <v>5170</v>
      </c>
      <c r="N38" s="11"/>
      <c r="O38" s="11"/>
      <c r="P38" s="11">
        <f t="shared" si="4"/>
        <v>13340.9375</v>
      </c>
      <c r="Q38" s="11">
        <f t="shared" si="5"/>
        <v>56721.1875</v>
      </c>
      <c r="R38" s="11"/>
      <c r="S38" s="11">
        <f t="shared" si="6"/>
        <v>680654.25</v>
      </c>
      <c r="T38" s="12"/>
    </row>
    <row r="39" spans="1:20" ht="12.75" customHeight="1">
      <c r="A39" s="10">
        <f t="shared" si="9"/>
        <v>9</v>
      </c>
      <c r="B39" s="21" t="s">
        <v>16</v>
      </c>
      <c r="C39" s="11">
        <v>5</v>
      </c>
      <c r="D39" s="10">
        <v>17</v>
      </c>
      <c r="E39" s="10">
        <v>2556</v>
      </c>
      <c r="F39" s="10">
        <f t="shared" si="7"/>
        <v>12780</v>
      </c>
      <c r="G39" s="10"/>
      <c r="H39" s="11"/>
      <c r="I39" s="11">
        <f>E39*C39*0.1</f>
        <v>1278</v>
      </c>
      <c r="J39" s="11"/>
      <c r="K39" s="11"/>
      <c r="L39" s="11"/>
      <c r="M39" s="11"/>
      <c r="N39" s="11"/>
      <c r="O39" s="11"/>
      <c r="P39" s="11">
        <f t="shared" si="4"/>
        <v>1278</v>
      </c>
      <c r="Q39" s="11">
        <f t="shared" si="5"/>
        <v>14058</v>
      </c>
      <c r="R39" s="11"/>
      <c r="S39" s="11">
        <f t="shared" si="6"/>
        <v>168696</v>
      </c>
      <c r="T39" s="12"/>
    </row>
    <row r="40" spans="1:20" ht="12.75" customHeight="1">
      <c r="A40" s="10">
        <f t="shared" si="9"/>
        <v>10</v>
      </c>
      <c r="B40" s="20" t="s">
        <v>548</v>
      </c>
      <c r="C40" s="22">
        <v>0.5</v>
      </c>
      <c r="D40" s="10">
        <v>17</v>
      </c>
      <c r="E40" s="10">
        <v>2556</v>
      </c>
      <c r="F40" s="10">
        <f t="shared" si="7"/>
        <v>1278</v>
      </c>
      <c r="G40" s="10"/>
      <c r="H40" s="11">
        <f>E40*C40*0.15</f>
        <v>191.7</v>
      </c>
      <c r="I40" s="11">
        <f>E40*C40*0.3</f>
        <v>383.4</v>
      </c>
      <c r="J40" s="11"/>
      <c r="K40" s="11"/>
      <c r="L40" s="11"/>
      <c r="M40" s="11"/>
      <c r="N40" s="11"/>
      <c r="O40" s="11"/>
      <c r="P40" s="11">
        <f t="shared" si="4"/>
        <v>575.0999999999999</v>
      </c>
      <c r="Q40" s="11">
        <f t="shared" si="5"/>
        <v>1853.1</v>
      </c>
      <c r="R40" s="11"/>
      <c r="S40" s="11">
        <f t="shared" si="6"/>
        <v>22237.199999999997</v>
      </c>
      <c r="T40" s="12"/>
    </row>
    <row r="41" spans="1:20" ht="12.75" customHeight="1">
      <c r="A41" s="10">
        <f t="shared" si="9"/>
        <v>11</v>
      </c>
      <c r="B41" s="20" t="s">
        <v>549</v>
      </c>
      <c r="C41" s="11">
        <v>2</v>
      </c>
      <c r="D41" s="10">
        <v>17</v>
      </c>
      <c r="E41" s="10">
        <v>2556</v>
      </c>
      <c r="F41" s="10">
        <f t="shared" si="7"/>
        <v>5112</v>
      </c>
      <c r="G41" s="11"/>
      <c r="H41" s="11">
        <f>E41*C41*0.1</f>
        <v>511.20000000000005</v>
      </c>
      <c r="I41" s="11">
        <f>E41*0.1+E41*0.2</f>
        <v>766.8000000000001</v>
      </c>
      <c r="J41" s="11"/>
      <c r="K41" s="11"/>
      <c r="L41" s="11"/>
      <c r="M41" s="11"/>
      <c r="N41" s="11"/>
      <c r="O41" s="11"/>
      <c r="P41" s="11">
        <f t="shared" si="4"/>
        <v>1278</v>
      </c>
      <c r="Q41" s="11">
        <f t="shared" si="5"/>
        <v>6390</v>
      </c>
      <c r="R41" s="11"/>
      <c r="S41" s="11">
        <f t="shared" si="6"/>
        <v>76680</v>
      </c>
      <c r="T41" s="12"/>
    </row>
    <row r="42" spans="1:20" ht="12.75" customHeight="1">
      <c r="A42" s="10">
        <f t="shared" si="9"/>
        <v>12</v>
      </c>
      <c r="B42" s="20" t="s">
        <v>27</v>
      </c>
      <c r="C42" s="11">
        <v>29</v>
      </c>
      <c r="D42" s="10">
        <v>17</v>
      </c>
      <c r="E42" s="10">
        <v>2556</v>
      </c>
      <c r="F42" s="10">
        <f t="shared" si="7"/>
        <v>74124</v>
      </c>
      <c r="G42" s="10"/>
      <c r="H42" s="11"/>
      <c r="I42" s="11">
        <f>E42*C42*0.28-5725</f>
        <v>15029.720000000001</v>
      </c>
      <c r="J42" s="11"/>
      <c r="K42" s="11"/>
      <c r="L42" s="11"/>
      <c r="M42" s="11">
        <f>E42*2*0.3</f>
        <v>1533.6</v>
      </c>
      <c r="N42" s="11"/>
      <c r="O42" s="11"/>
      <c r="P42" s="11">
        <f t="shared" si="4"/>
        <v>16563.32</v>
      </c>
      <c r="Q42" s="11">
        <f t="shared" si="5"/>
        <v>90687.32</v>
      </c>
      <c r="R42" s="11"/>
      <c r="S42" s="11">
        <f t="shared" si="6"/>
        <v>1088247.84</v>
      </c>
      <c r="T42" s="12"/>
    </row>
    <row r="43" spans="1:20" ht="12.75" customHeight="1">
      <c r="A43" s="10">
        <f t="shared" si="9"/>
        <v>13</v>
      </c>
      <c r="B43" s="26" t="s">
        <v>184</v>
      </c>
      <c r="C43" s="48">
        <v>1.25</v>
      </c>
      <c r="D43" s="10">
        <v>16</v>
      </c>
      <c r="E43" s="10">
        <v>2377</v>
      </c>
      <c r="F43" s="10">
        <f t="shared" si="7"/>
        <v>2971.25</v>
      </c>
      <c r="G43" s="11"/>
      <c r="H43" s="11">
        <f>E43*C43*0.1</f>
        <v>297.125</v>
      </c>
      <c r="I43" s="11">
        <f>E43*C43*0.1</f>
        <v>297.125</v>
      </c>
      <c r="J43" s="11"/>
      <c r="K43" s="11"/>
      <c r="L43" s="11"/>
      <c r="M43" s="11"/>
      <c r="N43" s="11"/>
      <c r="O43" s="11"/>
      <c r="P43" s="11">
        <f t="shared" si="4"/>
        <v>594.25</v>
      </c>
      <c r="Q43" s="11">
        <f t="shared" si="5"/>
        <v>3565.5</v>
      </c>
      <c r="R43" s="11"/>
      <c r="S43" s="11">
        <f t="shared" si="6"/>
        <v>42786</v>
      </c>
      <c r="T43" s="12"/>
    </row>
    <row r="44" spans="1:21" ht="12.75" customHeight="1">
      <c r="A44" s="10">
        <f t="shared" si="9"/>
        <v>14</v>
      </c>
      <c r="B44" s="26" t="s">
        <v>186</v>
      </c>
      <c r="C44" s="48">
        <f>2.75+0.3</f>
        <v>3.05</v>
      </c>
      <c r="D44" s="10">
        <v>16</v>
      </c>
      <c r="E44" s="10">
        <v>2377</v>
      </c>
      <c r="F44" s="10">
        <f t="shared" si="7"/>
        <v>7249.849999999999</v>
      </c>
      <c r="G44" s="10"/>
      <c r="H44" s="11"/>
      <c r="I44" s="11">
        <f>E44*C44*0.1</f>
        <v>724.985</v>
      </c>
      <c r="J44" s="11"/>
      <c r="K44" s="11"/>
      <c r="L44" s="11"/>
      <c r="M44" s="11"/>
      <c r="N44" s="11"/>
      <c r="O44" s="11"/>
      <c r="P44" s="11">
        <f t="shared" si="4"/>
        <v>724.985</v>
      </c>
      <c r="Q44" s="11">
        <f t="shared" si="5"/>
        <v>7974.834999999999</v>
      </c>
      <c r="R44" s="11"/>
      <c r="S44" s="11">
        <f t="shared" si="6"/>
        <v>95698.01999999999</v>
      </c>
      <c r="T44" s="12"/>
      <c r="U44" s="12"/>
    </row>
    <row r="45" spans="1:20" ht="12.75" customHeight="1">
      <c r="A45" s="10">
        <f t="shared" si="9"/>
        <v>15</v>
      </c>
      <c r="B45" s="26" t="s">
        <v>30</v>
      </c>
      <c r="C45" s="48">
        <v>31.25</v>
      </c>
      <c r="D45" s="10">
        <v>16</v>
      </c>
      <c r="E45" s="10">
        <v>2377</v>
      </c>
      <c r="F45" s="10">
        <f t="shared" si="7"/>
        <v>74281.25</v>
      </c>
      <c r="G45" s="10"/>
      <c r="H45" s="11"/>
      <c r="I45" s="11">
        <f>E45*C45*0.14+330</f>
        <v>10729.375000000002</v>
      </c>
      <c r="J45" s="11">
        <f>E45*1.25*0.15</f>
        <v>445.6875</v>
      </c>
      <c r="K45" s="11"/>
      <c r="L45" s="11"/>
      <c r="M45" s="11">
        <f>E45*0.3</f>
        <v>713.1</v>
      </c>
      <c r="N45" s="11"/>
      <c r="O45" s="11"/>
      <c r="P45" s="11">
        <f t="shared" si="4"/>
        <v>11888.162500000002</v>
      </c>
      <c r="Q45" s="11">
        <f t="shared" si="5"/>
        <v>86169.4125</v>
      </c>
      <c r="R45" s="11"/>
      <c r="S45" s="11">
        <f t="shared" si="6"/>
        <v>1034032.9500000001</v>
      </c>
      <c r="T45" s="12"/>
    </row>
    <row r="46" spans="1:20" ht="12.75" customHeight="1">
      <c r="A46" s="10"/>
      <c r="B46" s="26" t="s">
        <v>31</v>
      </c>
      <c r="C46" s="22">
        <f>SUM(C26:C45)</f>
        <v>279.3</v>
      </c>
      <c r="D46" s="22"/>
      <c r="E46" s="11"/>
      <c r="F46" s="11">
        <f>SUM(F26:F45)</f>
        <v>788383.6</v>
      </c>
      <c r="G46" s="22"/>
      <c r="H46" s="11">
        <f aca="true" t="shared" si="10" ref="H46:M46">SUM(H26:H45)</f>
        <v>3150.425</v>
      </c>
      <c r="I46" s="11">
        <f t="shared" si="10"/>
        <v>182034.08999999997</v>
      </c>
      <c r="J46" s="11">
        <f t="shared" si="10"/>
        <v>100912.82500000001</v>
      </c>
      <c r="K46" s="11">
        <f t="shared" si="10"/>
        <v>144500.48</v>
      </c>
      <c r="L46" s="11">
        <f t="shared" si="10"/>
        <v>1502.96</v>
      </c>
      <c r="M46" s="11">
        <f t="shared" si="10"/>
        <v>11787.7</v>
      </c>
      <c r="N46" s="11"/>
      <c r="O46" s="11"/>
      <c r="P46" s="11">
        <f>SUM(P26:P45)</f>
        <v>443888.4799999999</v>
      </c>
      <c r="Q46" s="11">
        <f>SUM(Q26:Q45)</f>
        <v>1232272.08</v>
      </c>
      <c r="R46" s="11">
        <f>SUM(R26:R45)</f>
        <v>0</v>
      </c>
      <c r="S46" s="11">
        <f>SUM(S26:S45)</f>
        <v>14787264.959999997</v>
      </c>
      <c r="T46" s="107"/>
    </row>
    <row r="47" spans="1:20" ht="15" customHeight="1">
      <c r="A47" s="157" t="s">
        <v>33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  <c r="T47" s="112"/>
    </row>
    <row r="48" spans="1:19" ht="12.75" customHeight="1">
      <c r="A48" s="3"/>
      <c r="B48" s="2" t="s">
        <v>49</v>
      </c>
      <c r="C48" s="3">
        <v>1</v>
      </c>
      <c r="D48" s="3">
        <v>16</v>
      </c>
      <c r="E48" s="3">
        <v>2377</v>
      </c>
      <c r="F48" s="3">
        <f>E48*C48</f>
        <v>2377</v>
      </c>
      <c r="G48" s="3"/>
      <c r="H48" s="3"/>
      <c r="I48" s="4"/>
      <c r="J48" s="3"/>
      <c r="K48" s="3"/>
      <c r="L48" s="3"/>
      <c r="M48" s="3"/>
      <c r="N48" s="3"/>
      <c r="O48" s="3"/>
      <c r="P48" s="3"/>
      <c r="Q48" s="5">
        <f>E48*C48+SUM(G48:O48)</f>
        <v>2377</v>
      </c>
      <c r="R48" s="5"/>
      <c r="S48" s="5">
        <f>Q48*$R$17</f>
        <v>28524</v>
      </c>
    </row>
    <row r="49" spans="1:19" ht="12.75" customHeight="1">
      <c r="A49" s="8"/>
      <c r="B49" s="27" t="s">
        <v>501</v>
      </c>
      <c r="C49" s="8">
        <v>1</v>
      </c>
      <c r="D49" s="8">
        <v>11</v>
      </c>
      <c r="E49" s="8">
        <v>1678</v>
      </c>
      <c r="F49" s="8">
        <f>E49*C49</f>
        <v>1678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9">
        <f>E49*C49+SUM(G49:O49)</f>
        <v>1678</v>
      </c>
      <c r="R49" s="9"/>
      <c r="S49" s="9">
        <f>Q49*$R$17</f>
        <v>20136</v>
      </c>
    </row>
    <row r="50" spans="1:19" ht="12.75" customHeight="1">
      <c r="A50" s="170" t="s">
        <v>34</v>
      </c>
      <c r="B50" s="159"/>
      <c r="C50" s="10">
        <f>SUM(C48:C49)</f>
        <v>2</v>
      </c>
      <c r="D50" s="10"/>
      <c r="E50" s="10"/>
      <c r="F50" s="10">
        <f>SUM(F48:F49)</f>
        <v>4055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SUM(Q48:Q49)</f>
        <v>4055</v>
      </c>
      <c r="R50" s="10">
        <f>SUM(R48:R49)</f>
        <v>0</v>
      </c>
      <c r="S50" s="10">
        <f>SUM(S48:S49)</f>
        <v>48660</v>
      </c>
    </row>
    <row r="51" spans="1:19" ht="12.75" customHeight="1">
      <c r="A51" s="178" t="s">
        <v>35</v>
      </c>
      <c r="B51" s="159"/>
      <c r="C51" s="22">
        <f>C23+C46+C50</f>
        <v>291.3</v>
      </c>
      <c r="D51" s="22"/>
      <c r="E51" s="11"/>
      <c r="F51" s="11">
        <f>F23+F46+F50</f>
        <v>825865.6</v>
      </c>
      <c r="G51" s="11"/>
      <c r="H51" s="11">
        <f aca="true" t="shared" si="11" ref="H51:M51">H23+H46+H50</f>
        <v>4475.225</v>
      </c>
      <c r="I51" s="11">
        <f t="shared" si="11"/>
        <v>190730.98999999996</v>
      </c>
      <c r="J51" s="11">
        <f t="shared" si="11"/>
        <v>106750.07500000001</v>
      </c>
      <c r="K51" s="11">
        <f t="shared" si="11"/>
        <v>153378.27000000002</v>
      </c>
      <c r="L51" s="11">
        <f t="shared" si="11"/>
        <v>1502.96</v>
      </c>
      <c r="M51" s="11">
        <f t="shared" si="11"/>
        <v>11787.7</v>
      </c>
      <c r="N51" s="11"/>
      <c r="O51" s="11"/>
      <c r="P51" s="11">
        <f>P23+P46+P50</f>
        <v>468625.2199999999</v>
      </c>
      <c r="Q51" s="11">
        <f>Q23+Q46+Q50</f>
        <v>1294490.82</v>
      </c>
      <c r="R51" s="11"/>
      <c r="S51" s="11">
        <f>S23+S46+S50</f>
        <v>15533889.839999996</v>
      </c>
    </row>
    <row r="52" spans="1:19" ht="15" customHeight="1">
      <c r="A52" s="157" t="s">
        <v>36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95"/>
      <c r="Q52" s="195"/>
      <c r="R52" s="158"/>
      <c r="S52" s="159"/>
    </row>
    <row r="53" spans="1:19" ht="24.75" customHeight="1">
      <c r="A53" s="162" t="s">
        <v>9</v>
      </c>
      <c r="B53" s="2" t="s">
        <v>234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9"/>
      <c r="O53" s="29"/>
      <c r="P53" s="29"/>
      <c r="Q53" s="3"/>
      <c r="R53" s="30"/>
      <c r="S53" s="3"/>
    </row>
    <row r="54" spans="1:19" ht="12" customHeight="1">
      <c r="A54" s="180"/>
      <c r="B54" s="31" t="s">
        <v>502</v>
      </c>
      <c r="C54" s="7">
        <v>2</v>
      </c>
      <c r="D54" s="7">
        <v>11</v>
      </c>
      <c r="E54" s="7">
        <v>1678</v>
      </c>
      <c r="F54" s="7">
        <f>E54*C54</f>
        <v>3356</v>
      </c>
      <c r="G54" s="7"/>
      <c r="H54" s="7"/>
      <c r="I54" s="4"/>
      <c r="J54" s="7"/>
      <c r="K54" s="7"/>
      <c r="L54" s="7"/>
      <c r="M54" s="7"/>
      <c r="N54" s="32"/>
      <c r="O54" s="32"/>
      <c r="P54" s="4"/>
      <c r="Q54" s="4">
        <f>E54*C54+SUM(G54:O54)</f>
        <v>3356</v>
      </c>
      <c r="R54" s="33"/>
      <c r="S54" s="4">
        <f>Q54*$R$17</f>
        <v>40272</v>
      </c>
    </row>
    <row r="55" spans="1:19" ht="12" customHeight="1">
      <c r="A55" s="163"/>
      <c r="B55" s="31" t="s">
        <v>192</v>
      </c>
      <c r="C55" s="7">
        <v>3</v>
      </c>
      <c r="D55" s="7">
        <v>6</v>
      </c>
      <c r="E55" s="7">
        <v>1263</v>
      </c>
      <c r="F55" s="7">
        <f>E55*C55</f>
        <v>3789</v>
      </c>
      <c r="G55" s="7"/>
      <c r="H55" s="7"/>
      <c r="I55" s="7"/>
      <c r="J55" s="7"/>
      <c r="K55" s="7"/>
      <c r="L55" s="7"/>
      <c r="M55" s="7"/>
      <c r="N55" s="32"/>
      <c r="O55" s="32"/>
      <c r="P55" s="32"/>
      <c r="Q55" s="4">
        <f>E55*C55+SUM(G55:O55)</f>
        <v>3789</v>
      </c>
      <c r="R55" s="33"/>
      <c r="S55" s="4">
        <f>Q55*$R$17</f>
        <v>45468</v>
      </c>
    </row>
    <row r="56" spans="1:19" ht="12" customHeight="1">
      <c r="A56" s="164"/>
      <c r="B56" s="27" t="s">
        <v>39</v>
      </c>
      <c r="C56" s="8">
        <v>1</v>
      </c>
      <c r="D56" s="8">
        <v>4</v>
      </c>
      <c r="E56" s="8">
        <v>1243</v>
      </c>
      <c r="F56" s="8">
        <f>E56*C56</f>
        <v>1243</v>
      </c>
      <c r="G56" s="8"/>
      <c r="H56" s="8"/>
      <c r="I56" s="8"/>
      <c r="J56" s="8"/>
      <c r="K56" s="8"/>
      <c r="L56" s="8"/>
      <c r="M56" s="8"/>
      <c r="N56" s="34"/>
      <c r="O56" s="34"/>
      <c r="P56" s="34"/>
      <c r="Q56" s="9">
        <f>E56*C56+SUM(G56:O56)</f>
        <v>1243</v>
      </c>
      <c r="R56" s="33"/>
      <c r="S56" s="9">
        <f>Q56*$R$17</f>
        <v>14916</v>
      </c>
    </row>
    <row r="57" spans="1:19" ht="12" customHeight="1">
      <c r="A57" s="10"/>
      <c r="B57" s="26" t="s">
        <v>40</v>
      </c>
      <c r="C57" s="10">
        <f>SUM(C54:C56)</f>
        <v>6</v>
      </c>
      <c r="D57" s="10"/>
      <c r="E57" s="10"/>
      <c r="F57" s="10">
        <f>SUM(F54:F56)</f>
        <v>8388</v>
      </c>
      <c r="G57" s="10"/>
      <c r="H57" s="10"/>
      <c r="I57" s="11"/>
      <c r="J57" s="10"/>
      <c r="K57" s="10"/>
      <c r="L57" s="10"/>
      <c r="M57" s="10"/>
      <c r="N57" s="35"/>
      <c r="O57" s="35"/>
      <c r="P57" s="34"/>
      <c r="Q57" s="9">
        <f>SUM(Q54:Q56)</f>
        <v>8388</v>
      </c>
      <c r="R57" s="36">
        <f>SUM(R54:R56)</f>
        <v>0</v>
      </c>
      <c r="S57" s="11">
        <f>SUM(S54:S56)</f>
        <v>100656</v>
      </c>
    </row>
    <row r="58" spans="1:19" ht="12" customHeight="1">
      <c r="A58" s="162" t="s">
        <v>11</v>
      </c>
      <c r="B58" s="2" t="s">
        <v>179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3"/>
      <c r="B59" s="31" t="s">
        <v>502</v>
      </c>
      <c r="C59" s="7">
        <v>1</v>
      </c>
      <c r="D59" s="7">
        <v>11</v>
      </c>
      <c r="E59" s="7">
        <v>1678</v>
      </c>
      <c r="F59" s="7">
        <f>E59*C59</f>
        <v>1678</v>
      </c>
      <c r="G59" s="7"/>
      <c r="H59" s="7"/>
      <c r="I59" s="4"/>
      <c r="J59" s="7"/>
      <c r="K59" s="7"/>
      <c r="L59" s="7"/>
      <c r="M59" s="7"/>
      <c r="N59" s="32"/>
      <c r="O59" s="32"/>
      <c r="P59" s="4"/>
      <c r="Q59" s="4">
        <f>E59*C59+SUM(G59:O59)</f>
        <v>1678</v>
      </c>
      <c r="R59" s="7"/>
      <c r="S59" s="4">
        <f>Q59*$R$17</f>
        <v>20136</v>
      </c>
    </row>
    <row r="60" spans="1:19" ht="12" customHeight="1">
      <c r="A60" s="164"/>
      <c r="B60" s="27" t="s">
        <v>80</v>
      </c>
      <c r="C60" s="8">
        <v>1</v>
      </c>
      <c r="D60" s="8">
        <v>4</v>
      </c>
      <c r="E60" s="8">
        <v>1243</v>
      </c>
      <c r="F60" s="7">
        <f>E60*C60</f>
        <v>1243</v>
      </c>
      <c r="G60" s="8"/>
      <c r="H60" s="8"/>
      <c r="I60" s="8"/>
      <c r="J60" s="8"/>
      <c r="K60" s="8"/>
      <c r="L60" s="8"/>
      <c r="M60" s="8"/>
      <c r="N60" s="8"/>
      <c r="O60" s="8"/>
      <c r="P60" s="7"/>
      <c r="Q60" s="4">
        <f>E60*C60+SUM(G60:O60)</f>
        <v>1243</v>
      </c>
      <c r="R60" s="7"/>
      <c r="S60" s="4">
        <f>Q60*$R$17</f>
        <v>14916</v>
      </c>
    </row>
    <row r="61" spans="1:19" ht="12" customHeight="1">
      <c r="A61" s="10"/>
      <c r="B61" s="26" t="s">
        <v>40</v>
      </c>
      <c r="C61" s="10">
        <f>SUM(C59:C60)</f>
        <v>2</v>
      </c>
      <c r="D61" s="10"/>
      <c r="E61" s="10"/>
      <c r="F61" s="10">
        <f>SUM(F59:F60)</f>
        <v>2921</v>
      </c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>
        <f>SUM(Q59:Q60)</f>
        <v>2921</v>
      </c>
      <c r="R61" s="11"/>
      <c r="S61" s="11">
        <f>SUM(S59:S60)</f>
        <v>35052</v>
      </c>
    </row>
    <row r="62" spans="1:19" ht="21.75" customHeight="1">
      <c r="A62" s="3" t="s">
        <v>10</v>
      </c>
      <c r="B62" s="37" t="s">
        <v>259</v>
      </c>
      <c r="C62" s="3"/>
      <c r="D62" s="3"/>
      <c r="E62" s="3"/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</row>
    <row r="63" spans="1:19" ht="12.75">
      <c r="A63" s="7"/>
      <c r="B63" s="31" t="s">
        <v>252</v>
      </c>
      <c r="C63" s="7">
        <v>1</v>
      </c>
      <c r="D63" s="7">
        <v>5</v>
      </c>
      <c r="E63" s="7">
        <v>1253</v>
      </c>
      <c r="F63" s="7">
        <f>E63*C63</f>
        <v>1253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4">
        <f>E63*C63+SUM(G63:O63)</f>
        <v>1253</v>
      </c>
      <c r="R63" s="7"/>
      <c r="S63" s="4">
        <f>Q63*$R$17</f>
        <v>15036</v>
      </c>
    </row>
    <row r="64" spans="1:19" ht="12.75">
      <c r="A64" s="8"/>
      <c r="B64" s="38" t="s">
        <v>80</v>
      </c>
      <c r="C64" s="7">
        <v>2.5</v>
      </c>
      <c r="D64" s="7">
        <v>4</v>
      </c>
      <c r="E64" s="7">
        <v>1243</v>
      </c>
      <c r="F64" s="7">
        <f>E64*C64</f>
        <v>3107.5</v>
      </c>
      <c r="G64" s="8"/>
      <c r="H64" s="8"/>
      <c r="I64" s="8"/>
      <c r="J64" s="8"/>
      <c r="K64" s="8"/>
      <c r="L64" s="8"/>
      <c r="M64" s="8"/>
      <c r="N64" s="8"/>
      <c r="O64" s="8"/>
      <c r="P64" s="7"/>
      <c r="Q64" s="4">
        <f>E64*C64+SUM(G64:O64)</f>
        <v>3107.5</v>
      </c>
      <c r="R64" s="8"/>
      <c r="S64" s="9">
        <f>Q64*$R$17</f>
        <v>37290</v>
      </c>
    </row>
    <row r="65" spans="1:19" ht="12.75">
      <c r="A65" s="10"/>
      <c r="B65" s="26" t="s">
        <v>40</v>
      </c>
      <c r="C65" s="10">
        <f>SUM(C63:C64)</f>
        <v>3.5</v>
      </c>
      <c r="D65" s="10"/>
      <c r="E65" s="10" t="s">
        <v>91</v>
      </c>
      <c r="F65" s="10">
        <f>SUM(F63:F64)</f>
        <v>4360.5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SUM(Q63:Q64)</f>
        <v>4360.5</v>
      </c>
      <c r="R65" s="10">
        <f>SUM(R63:R64)</f>
        <v>0</v>
      </c>
      <c r="S65" s="10">
        <f>SUM(S63:S64)</f>
        <v>52326</v>
      </c>
    </row>
    <row r="66" spans="1:19" ht="50.25" customHeight="1">
      <c r="A66" s="162" t="s">
        <v>13</v>
      </c>
      <c r="B66" s="2" t="s">
        <v>178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63"/>
      <c r="B67" s="31" t="s">
        <v>350</v>
      </c>
      <c r="C67" s="7">
        <v>1</v>
      </c>
      <c r="D67" s="7">
        <v>10</v>
      </c>
      <c r="E67" s="7">
        <v>1551</v>
      </c>
      <c r="F67" s="7">
        <f>E67*C67</f>
        <v>1551</v>
      </c>
      <c r="G67" s="7"/>
      <c r="H67" s="7"/>
      <c r="I67" s="7"/>
      <c r="J67" s="7"/>
      <c r="K67" s="7"/>
      <c r="L67" s="7"/>
      <c r="M67" s="7"/>
      <c r="N67" s="32"/>
      <c r="O67" s="32"/>
      <c r="P67" s="7"/>
      <c r="Q67" s="4">
        <f>E67*C67+SUM(G67:O67)</f>
        <v>1551</v>
      </c>
      <c r="R67" s="7"/>
      <c r="S67" s="4">
        <f>Q67*$R$17</f>
        <v>18612</v>
      </c>
    </row>
    <row r="68" spans="1:19" ht="12.75">
      <c r="A68" s="121"/>
      <c r="B68" s="31" t="s">
        <v>192</v>
      </c>
      <c r="C68" s="7">
        <v>1</v>
      </c>
      <c r="D68" s="7">
        <v>6</v>
      </c>
      <c r="E68" s="7">
        <v>1263</v>
      </c>
      <c r="F68" s="7">
        <f>E68*C68</f>
        <v>1263</v>
      </c>
      <c r="G68" s="7"/>
      <c r="H68" s="7"/>
      <c r="I68" s="7"/>
      <c r="J68" s="7"/>
      <c r="K68" s="7"/>
      <c r="L68" s="7"/>
      <c r="M68" s="7"/>
      <c r="N68" s="32"/>
      <c r="O68" s="32"/>
      <c r="P68" s="32"/>
      <c r="Q68" s="4">
        <f>E68*C68+SUM(G68:O68)</f>
        <v>1263</v>
      </c>
      <c r="R68" s="33"/>
      <c r="S68" s="4">
        <f>Q68*$R$17</f>
        <v>15156</v>
      </c>
    </row>
    <row r="69" spans="1:19" ht="12.75">
      <c r="A69" s="121"/>
      <c r="B69" s="31" t="s">
        <v>39</v>
      </c>
      <c r="C69" s="8">
        <v>1</v>
      </c>
      <c r="D69" s="8">
        <v>4</v>
      </c>
      <c r="E69" s="8">
        <v>1243</v>
      </c>
      <c r="F69" s="7">
        <f>E69*C69</f>
        <v>1243</v>
      </c>
      <c r="G69" s="8"/>
      <c r="H69" s="8"/>
      <c r="I69" s="8"/>
      <c r="J69" s="8"/>
      <c r="K69" s="8"/>
      <c r="L69" s="8"/>
      <c r="M69" s="8"/>
      <c r="N69" s="8"/>
      <c r="O69" s="8"/>
      <c r="P69" s="7"/>
      <c r="Q69" s="4">
        <f>E69*C69+SUM(G69:O69)</f>
        <v>1243</v>
      </c>
      <c r="R69" s="7"/>
      <c r="S69" s="4">
        <f>Q69*$R$17</f>
        <v>14916</v>
      </c>
    </row>
    <row r="70" spans="1:19" ht="12.75">
      <c r="A70" s="10"/>
      <c r="B70" s="26" t="s">
        <v>40</v>
      </c>
      <c r="C70" s="10">
        <f>SUM(C67:C69)</f>
        <v>3</v>
      </c>
      <c r="D70" s="10"/>
      <c r="E70" s="10"/>
      <c r="F70" s="10">
        <f>SUM(F67:F69)</f>
        <v>4057</v>
      </c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1">
        <f>SUM(Q67:Q69)</f>
        <v>4057</v>
      </c>
      <c r="R70" s="11">
        <f>SUM(R67:R69)</f>
        <v>0</v>
      </c>
      <c r="S70" s="11">
        <f>SUM(S67:S69)</f>
        <v>48684</v>
      </c>
    </row>
    <row r="71" spans="1:19" ht="25.5">
      <c r="A71" s="162" t="s">
        <v>19</v>
      </c>
      <c r="B71" s="2" t="s">
        <v>43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63"/>
      <c r="B72" s="31" t="s">
        <v>44</v>
      </c>
      <c r="C72" s="7">
        <v>1</v>
      </c>
      <c r="D72" s="7">
        <v>7</v>
      </c>
      <c r="E72" s="7">
        <v>1312</v>
      </c>
      <c r="F72" s="7">
        <f>E72*C72</f>
        <v>1312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4">
        <f>E72*C72+SUM(G72:O72)</f>
        <v>1312</v>
      </c>
      <c r="R72" s="7"/>
      <c r="S72" s="4">
        <f>Q72*$R$17</f>
        <v>15744</v>
      </c>
    </row>
    <row r="73" spans="1:19" ht="12.75">
      <c r="A73" s="163"/>
      <c r="B73" s="31" t="s">
        <v>192</v>
      </c>
      <c r="C73" s="7">
        <v>2</v>
      </c>
      <c r="D73" s="7">
        <v>6</v>
      </c>
      <c r="E73" s="7">
        <v>1263</v>
      </c>
      <c r="F73" s="7">
        <f>E73*C73</f>
        <v>2526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4">
        <f>E73*C73+SUM(G73:O73)</f>
        <v>2526</v>
      </c>
      <c r="R73" s="7"/>
      <c r="S73" s="4">
        <f>Q73*$R$17</f>
        <v>30312</v>
      </c>
    </row>
    <row r="74" spans="1:19" ht="12.75">
      <c r="A74" s="164"/>
      <c r="B74" s="27" t="s">
        <v>39</v>
      </c>
      <c r="C74" s="8">
        <v>2</v>
      </c>
      <c r="D74" s="8">
        <v>4</v>
      </c>
      <c r="E74" s="8">
        <v>1243</v>
      </c>
      <c r="F74" s="7">
        <f>E74*C74</f>
        <v>2486</v>
      </c>
      <c r="G74" s="8"/>
      <c r="H74" s="8"/>
      <c r="I74" s="8"/>
      <c r="J74" s="8"/>
      <c r="K74" s="8"/>
      <c r="L74" s="8"/>
      <c r="M74" s="8"/>
      <c r="N74" s="8"/>
      <c r="O74" s="8"/>
      <c r="P74" s="7"/>
      <c r="Q74" s="4">
        <f>E74*C74+SUM(G74:O74)</f>
        <v>2486</v>
      </c>
      <c r="R74" s="7"/>
      <c r="S74" s="4">
        <f>Q74*$R$17</f>
        <v>29832</v>
      </c>
    </row>
    <row r="75" spans="1:19" ht="12.75">
      <c r="A75" s="10"/>
      <c r="B75" s="26" t="s">
        <v>40</v>
      </c>
      <c r="C75" s="10">
        <f>SUM(C72:C74)</f>
        <v>5</v>
      </c>
      <c r="D75" s="10"/>
      <c r="E75" s="10"/>
      <c r="F75" s="10">
        <f>SUM(F72:F74)</f>
        <v>6324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>SUM(Q72:Q74)</f>
        <v>6324</v>
      </c>
      <c r="R75" s="10">
        <f>SUM(R72:R74)</f>
        <v>0</v>
      </c>
      <c r="S75" s="10">
        <f>SUM(S72:S74)</f>
        <v>75888</v>
      </c>
    </row>
    <row r="76" spans="1:19" ht="24" customHeight="1">
      <c r="A76" s="162" t="s">
        <v>20</v>
      </c>
      <c r="B76" s="2" t="s">
        <v>428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63"/>
      <c r="B77" s="31" t="s">
        <v>162</v>
      </c>
      <c r="C77" s="7">
        <v>1</v>
      </c>
      <c r="D77" s="7">
        <v>6</v>
      </c>
      <c r="E77" s="7">
        <v>1263</v>
      </c>
      <c r="F77" s="7">
        <f>E77*C77</f>
        <v>1263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4">
        <f>E77*C77+SUM(G77:O77)</f>
        <v>1263</v>
      </c>
      <c r="R77" s="7"/>
      <c r="S77" s="4">
        <f>Q77*$R$17</f>
        <v>15156</v>
      </c>
    </row>
    <row r="78" spans="1:19" ht="12.75">
      <c r="A78" s="163"/>
      <c r="B78" s="31" t="s">
        <v>38</v>
      </c>
      <c r="C78" s="7">
        <v>1</v>
      </c>
      <c r="D78" s="7">
        <v>5</v>
      </c>
      <c r="E78" s="7">
        <v>1253</v>
      </c>
      <c r="F78" s="7">
        <f>E78*C78</f>
        <v>1253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4">
        <f>E78*C78+SUM(G78:O78)</f>
        <v>1253</v>
      </c>
      <c r="R78" s="7"/>
      <c r="S78" s="4">
        <f>Q78*$R$17</f>
        <v>15036</v>
      </c>
    </row>
    <row r="79" spans="1:19" ht="12.75">
      <c r="A79" s="121"/>
      <c r="B79" s="31" t="s">
        <v>39</v>
      </c>
      <c r="C79" s="7">
        <v>1</v>
      </c>
      <c r="D79" s="7">
        <v>4</v>
      </c>
      <c r="E79" s="7">
        <v>1243</v>
      </c>
      <c r="F79" s="7">
        <f>E79*C79</f>
        <v>1243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4">
        <f>E79*C79+SUM(G79:O79)</f>
        <v>1243</v>
      </c>
      <c r="R79" s="7"/>
      <c r="S79" s="4">
        <f>Q79*$R$17</f>
        <v>14916</v>
      </c>
    </row>
    <row r="80" spans="1:19" ht="12.75">
      <c r="A80" s="10"/>
      <c r="B80" s="26" t="s">
        <v>40</v>
      </c>
      <c r="C80" s="10">
        <f>SUM(C77:C79)</f>
        <v>3</v>
      </c>
      <c r="D80" s="10"/>
      <c r="E80" s="10"/>
      <c r="F80" s="10">
        <f>SUM(F77:F79)</f>
        <v>3759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>
        <f>SUM(Q77:Q79)</f>
        <v>3759</v>
      </c>
      <c r="R80" s="10"/>
      <c r="S80" s="11">
        <f>SUM(S77:S79)</f>
        <v>45108</v>
      </c>
    </row>
    <row r="81" spans="1:19" ht="24" customHeight="1">
      <c r="A81" s="162" t="s">
        <v>21</v>
      </c>
      <c r="B81" s="2" t="s">
        <v>45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9"/>
      <c r="O81" s="29"/>
      <c r="P81" s="3"/>
      <c r="Q81" s="3"/>
      <c r="R81" s="3"/>
      <c r="S81" s="3"/>
    </row>
    <row r="82" spans="1:19" ht="11.25" customHeight="1">
      <c r="A82" s="163"/>
      <c r="B82" s="31" t="s">
        <v>502</v>
      </c>
      <c r="C82" s="7">
        <v>2</v>
      </c>
      <c r="D82" s="7">
        <v>11</v>
      </c>
      <c r="E82" s="7">
        <v>1678</v>
      </c>
      <c r="F82" s="7">
        <f>E82*C82</f>
        <v>3356</v>
      </c>
      <c r="G82" s="7"/>
      <c r="H82" s="7"/>
      <c r="I82" s="4"/>
      <c r="J82" s="4"/>
      <c r="K82" s="7"/>
      <c r="L82" s="7"/>
      <c r="M82" s="7"/>
      <c r="N82" s="32"/>
      <c r="O82" s="32"/>
      <c r="P82" s="4"/>
      <c r="Q82" s="4">
        <f>E82*C82+SUM(G82:O82)</f>
        <v>3356</v>
      </c>
      <c r="R82" s="7"/>
      <c r="S82" s="4">
        <f>Q82*$R$17</f>
        <v>40272</v>
      </c>
    </row>
    <row r="83" spans="1:19" ht="11.25" customHeight="1">
      <c r="A83" s="163"/>
      <c r="B83" s="31" t="s">
        <v>58</v>
      </c>
      <c r="C83" s="7">
        <v>1</v>
      </c>
      <c r="D83" s="7">
        <v>10</v>
      </c>
      <c r="E83" s="7">
        <v>1551</v>
      </c>
      <c r="F83" s="7">
        <f>E83*C83</f>
        <v>1551</v>
      </c>
      <c r="G83" s="7"/>
      <c r="H83" s="7"/>
      <c r="I83" s="7"/>
      <c r="J83" s="7"/>
      <c r="K83" s="7"/>
      <c r="L83" s="7"/>
      <c r="M83" s="7"/>
      <c r="N83" s="32"/>
      <c r="O83" s="32"/>
      <c r="P83" s="7"/>
      <c r="Q83" s="4">
        <f>E83*C83+SUM(G83:O83)</f>
        <v>1551</v>
      </c>
      <c r="R83" s="7"/>
      <c r="S83" s="4">
        <f>Q83*$R$17</f>
        <v>18612</v>
      </c>
    </row>
    <row r="84" spans="1:19" ht="11.25" customHeight="1">
      <c r="A84" s="163"/>
      <c r="B84" s="31" t="s">
        <v>112</v>
      </c>
      <c r="C84" s="7">
        <v>1</v>
      </c>
      <c r="D84" s="7">
        <v>9</v>
      </c>
      <c r="E84" s="7">
        <v>1474</v>
      </c>
      <c r="F84" s="7">
        <f>E84*C84</f>
        <v>1474</v>
      </c>
      <c r="G84" s="7"/>
      <c r="H84" s="7"/>
      <c r="I84" s="7"/>
      <c r="J84" s="7"/>
      <c r="K84" s="7"/>
      <c r="L84" s="7"/>
      <c r="M84" s="7"/>
      <c r="N84" s="32"/>
      <c r="O84" s="32"/>
      <c r="P84" s="32"/>
      <c r="Q84" s="4">
        <f>E84*C84+SUM(G84:O84)</f>
        <v>1474</v>
      </c>
      <c r="R84" s="7"/>
      <c r="S84" s="4">
        <f>Q84*$R$17</f>
        <v>17688</v>
      </c>
    </row>
    <row r="85" spans="1:19" ht="11.25" customHeight="1">
      <c r="A85" s="163"/>
      <c r="B85" s="31" t="s">
        <v>48</v>
      </c>
      <c r="C85" s="7">
        <v>0.5</v>
      </c>
      <c r="D85" s="7">
        <v>5</v>
      </c>
      <c r="E85" s="7">
        <v>1253</v>
      </c>
      <c r="F85" s="7">
        <f>E85*C85</f>
        <v>626.5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4">
        <f>E85*C85+SUM(G85:O85)</f>
        <v>626.5</v>
      </c>
      <c r="R85" s="7"/>
      <c r="S85" s="4">
        <f>Q85*$R$17</f>
        <v>7518</v>
      </c>
    </row>
    <row r="86" spans="1:19" ht="11.25" customHeight="1">
      <c r="A86" s="120"/>
      <c r="B86" s="27" t="s">
        <v>50</v>
      </c>
      <c r="C86" s="8">
        <v>1.5</v>
      </c>
      <c r="D86" s="8">
        <v>4</v>
      </c>
      <c r="E86" s="8">
        <v>1243</v>
      </c>
      <c r="F86" s="8">
        <f>E86*C86</f>
        <v>1864.5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9">
        <f>E86*C86+SUM(G86:O86)</f>
        <v>1864.5</v>
      </c>
      <c r="R86" s="8"/>
      <c r="S86" s="9">
        <f>Q86*$R$17</f>
        <v>22374</v>
      </c>
    </row>
    <row r="87" spans="1:19" ht="11.25" customHeight="1">
      <c r="A87" s="10"/>
      <c r="B87" s="26" t="s">
        <v>40</v>
      </c>
      <c r="C87" s="10">
        <f>SUM(C82:C86)</f>
        <v>6</v>
      </c>
      <c r="D87" s="10"/>
      <c r="E87" s="10"/>
      <c r="F87" s="10">
        <f>SUM(F82:F86)</f>
        <v>8872</v>
      </c>
      <c r="G87" s="10"/>
      <c r="H87" s="10"/>
      <c r="I87" s="11"/>
      <c r="J87" s="11"/>
      <c r="K87" s="11"/>
      <c r="L87" s="11"/>
      <c r="M87" s="11"/>
      <c r="N87" s="11"/>
      <c r="O87" s="11"/>
      <c r="P87" s="11"/>
      <c r="Q87" s="11">
        <f>SUM(Q82:Q86)</f>
        <v>8872</v>
      </c>
      <c r="R87" s="11">
        <f>SUM(R82:R85)</f>
        <v>0</v>
      </c>
      <c r="S87" s="11">
        <f>SUM(S82:S86)</f>
        <v>106464</v>
      </c>
    </row>
    <row r="88" spans="1:19" ht="24" customHeight="1">
      <c r="A88" s="162" t="s">
        <v>22</v>
      </c>
      <c r="B88" s="2" t="s">
        <v>172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63"/>
      <c r="B89" s="31" t="s">
        <v>502</v>
      </c>
      <c r="C89" s="7">
        <v>1</v>
      </c>
      <c r="D89" s="7">
        <v>11</v>
      </c>
      <c r="E89" s="7">
        <v>1678</v>
      </c>
      <c r="F89" s="7">
        <f>E89*C89</f>
        <v>1678</v>
      </c>
      <c r="G89" s="7"/>
      <c r="H89" s="7"/>
      <c r="I89" s="4"/>
      <c r="J89" s="7"/>
      <c r="K89" s="7"/>
      <c r="L89" s="7"/>
      <c r="M89" s="7"/>
      <c r="N89" s="7"/>
      <c r="O89" s="7"/>
      <c r="P89" s="4"/>
      <c r="Q89" s="4">
        <f>E89*C89+SUM(G89:O89)</f>
        <v>1678</v>
      </c>
      <c r="R89" s="7"/>
      <c r="S89" s="4">
        <f>Q89*$R$17</f>
        <v>20136</v>
      </c>
    </row>
    <row r="90" spans="1:19" ht="12.75">
      <c r="A90" s="163"/>
      <c r="B90" s="31" t="s">
        <v>192</v>
      </c>
      <c r="C90" s="7">
        <v>2</v>
      </c>
      <c r="D90" s="7">
        <v>6</v>
      </c>
      <c r="E90" s="7">
        <v>1263</v>
      </c>
      <c r="F90" s="7">
        <f>E90*C90</f>
        <v>2526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4">
        <f>E90*C90+SUM(G90:O90)</f>
        <v>2526</v>
      </c>
      <c r="R90" s="7"/>
      <c r="S90" s="4">
        <f>Q90*$R$17</f>
        <v>30312</v>
      </c>
    </row>
    <row r="91" spans="1:19" ht="12.75">
      <c r="A91" s="164"/>
      <c r="B91" s="27" t="s">
        <v>52</v>
      </c>
      <c r="C91" s="8">
        <v>1.5</v>
      </c>
      <c r="D91" s="7">
        <v>4</v>
      </c>
      <c r="E91" s="7">
        <v>1243</v>
      </c>
      <c r="F91" s="7">
        <f>E91*C91</f>
        <v>1864.5</v>
      </c>
      <c r="G91" s="8"/>
      <c r="H91" s="8"/>
      <c r="I91" s="8"/>
      <c r="J91" s="8"/>
      <c r="K91" s="8"/>
      <c r="L91" s="8"/>
      <c r="M91" s="8"/>
      <c r="N91" s="8"/>
      <c r="O91" s="8"/>
      <c r="P91" s="7"/>
      <c r="Q91" s="4">
        <f>E91*C91+SUM(G91:O91)</f>
        <v>1864.5</v>
      </c>
      <c r="R91" s="7"/>
      <c r="S91" s="4">
        <f>Q91*$R$17</f>
        <v>22374</v>
      </c>
    </row>
    <row r="92" spans="1:19" ht="12.75">
      <c r="A92" s="10"/>
      <c r="B92" s="26" t="s">
        <v>40</v>
      </c>
      <c r="C92" s="10">
        <f>SUM(C89:C91)</f>
        <v>4.5</v>
      </c>
      <c r="D92" s="10"/>
      <c r="E92" s="10"/>
      <c r="F92" s="10">
        <f>SUM(F89:F91)</f>
        <v>6068.5</v>
      </c>
      <c r="G92" s="10"/>
      <c r="H92" s="10"/>
      <c r="I92" s="11"/>
      <c r="J92" s="11"/>
      <c r="K92" s="11"/>
      <c r="L92" s="11"/>
      <c r="M92" s="11"/>
      <c r="N92" s="11"/>
      <c r="O92" s="11"/>
      <c r="P92" s="11"/>
      <c r="Q92" s="11">
        <f>SUM(Q89:Q91)</f>
        <v>6068.5</v>
      </c>
      <c r="R92" s="11">
        <f>SUM(R89:R91)</f>
        <v>0</v>
      </c>
      <c r="S92" s="11">
        <f>SUM(S89:S91)</f>
        <v>72822</v>
      </c>
    </row>
    <row r="93" spans="1:19" ht="12.75" customHeight="1">
      <c r="A93" s="3" t="s">
        <v>23</v>
      </c>
      <c r="B93" s="2" t="s">
        <v>344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 customHeight="1">
      <c r="A94" s="7"/>
      <c r="B94" s="31" t="s">
        <v>162</v>
      </c>
      <c r="C94" s="7">
        <v>1</v>
      </c>
      <c r="D94" s="7">
        <v>6</v>
      </c>
      <c r="E94" s="7">
        <v>1263</v>
      </c>
      <c r="F94" s="7">
        <f>E94*C94</f>
        <v>1263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4">
        <f>E94*C94+SUM(G94:O94)</f>
        <v>1263</v>
      </c>
      <c r="R94" s="7"/>
      <c r="S94" s="4">
        <f>Q94*$R$17</f>
        <v>15156</v>
      </c>
    </row>
    <row r="95" spans="1:19" ht="12.75" customHeight="1">
      <c r="A95" s="8"/>
      <c r="B95" s="27" t="s">
        <v>61</v>
      </c>
      <c r="C95" s="8">
        <v>1</v>
      </c>
      <c r="D95" s="8">
        <v>7</v>
      </c>
      <c r="E95" s="8">
        <v>1312</v>
      </c>
      <c r="F95" s="8">
        <f>E95*C95</f>
        <v>1312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9">
        <f>E95*C95+SUM(G95:O95)</f>
        <v>1312</v>
      </c>
      <c r="R95" s="8"/>
      <c r="S95" s="9">
        <f>Q95*$R$17</f>
        <v>15744</v>
      </c>
    </row>
    <row r="96" spans="1:19" ht="12.75" customHeight="1">
      <c r="A96" s="10"/>
      <c r="B96" s="26" t="s">
        <v>40</v>
      </c>
      <c r="C96" s="10">
        <f>SUM(C94:C95)</f>
        <v>2</v>
      </c>
      <c r="D96" s="10"/>
      <c r="E96" s="10"/>
      <c r="F96" s="10">
        <f>SUM(F94:F95)</f>
        <v>2575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>
        <f>SUM(Q94:Q95)</f>
        <v>2575</v>
      </c>
      <c r="R96" s="10">
        <f>SUM(R94:R94)</f>
        <v>0</v>
      </c>
      <c r="S96" s="11">
        <f>SUM(S94:S95)</f>
        <v>30900</v>
      </c>
    </row>
    <row r="97" spans="1:19" ht="12.75" customHeight="1">
      <c r="A97" s="162" t="s">
        <v>25</v>
      </c>
      <c r="B97" s="2" t="s">
        <v>493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" customHeight="1">
      <c r="A98" s="163"/>
      <c r="B98" s="31" t="s">
        <v>502</v>
      </c>
      <c r="C98" s="7">
        <v>1</v>
      </c>
      <c r="D98" s="7">
        <v>11</v>
      </c>
      <c r="E98" s="7">
        <v>1678</v>
      </c>
      <c r="F98" s="7">
        <f>E98*C98</f>
        <v>1678</v>
      </c>
      <c r="G98" s="7"/>
      <c r="H98" s="7"/>
      <c r="I98" s="4"/>
      <c r="J98" s="4"/>
      <c r="K98" s="4"/>
      <c r="L98" s="4"/>
      <c r="M98" s="4"/>
      <c r="N98" s="4"/>
      <c r="O98" s="4"/>
      <c r="P98" s="4"/>
      <c r="Q98" s="4">
        <f>E98*C98+SUM(G98:O98)</f>
        <v>1678</v>
      </c>
      <c r="R98" s="7"/>
      <c r="S98" s="4">
        <f>Q98*$R$17</f>
        <v>20136</v>
      </c>
    </row>
    <row r="99" spans="1:19" ht="12" customHeight="1">
      <c r="A99" s="163"/>
      <c r="B99" s="31" t="s">
        <v>51</v>
      </c>
      <c r="C99" s="7">
        <v>1</v>
      </c>
      <c r="D99" s="7">
        <v>7</v>
      </c>
      <c r="E99" s="7">
        <v>1312</v>
      </c>
      <c r="F99" s="7">
        <f>E99*C99</f>
        <v>1312</v>
      </c>
      <c r="G99" s="7"/>
      <c r="H99" s="7"/>
      <c r="I99" s="4"/>
      <c r="J99" s="4"/>
      <c r="K99" s="4"/>
      <c r="L99" s="4"/>
      <c r="M99" s="4"/>
      <c r="N99" s="4"/>
      <c r="O99" s="4"/>
      <c r="P99" s="4"/>
      <c r="Q99" s="4">
        <f>E99*C99+SUM(G99:O99)</f>
        <v>1312</v>
      </c>
      <c r="R99" s="7"/>
      <c r="S99" s="4">
        <f>Q99*$R$17</f>
        <v>15744</v>
      </c>
    </row>
    <row r="100" spans="1:19" ht="12" customHeight="1">
      <c r="A100" s="163"/>
      <c r="B100" s="31" t="s">
        <v>481</v>
      </c>
      <c r="C100" s="7">
        <v>1</v>
      </c>
      <c r="D100" s="7">
        <v>6</v>
      </c>
      <c r="E100" s="7">
        <v>1263</v>
      </c>
      <c r="F100" s="7">
        <f>E100*C100</f>
        <v>1263</v>
      </c>
      <c r="G100" s="7"/>
      <c r="H100" s="7"/>
      <c r="I100" s="4"/>
      <c r="J100" s="4"/>
      <c r="K100" s="4"/>
      <c r="L100" s="4"/>
      <c r="M100" s="4"/>
      <c r="N100" s="4"/>
      <c r="O100" s="4"/>
      <c r="P100" s="4"/>
      <c r="Q100" s="4">
        <f>E100*C100+SUM(G100:O100)</f>
        <v>1263</v>
      </c>
      <c r="R100" s="7"/>
      <c r="S100" s="4">
        <f>Q100*$R$17</f>
        <v>15156</v>
      </c>
    </row>
    <row r="101" spans="1:19" ht="12" customHeight="1">
      <c r="A101" s="164"/>
      <c r="B101" s="27" t="s">
        <v>52</v>
      </c>
      <c r="C101" s="8">
        <v>1</v>
      </c>
      <c r="D101" s="8">
        <v>4</v>
      </c>
      <c r="E101" s="8">
        <v>1243</v>
      </c>
      <c r="F101" s="7">
        <f>E101*C101</f>
        <v>1243</v>
      </c>
      <c r="G101" s="8"/>
      <c r="H101" s="8"/>
      <c r="I101" s="9"/>
      <c r="J101" s="9"/>
      <c r="K101" s="9"/>
      <c r="L101" s="9"/>
      <c r="M101" s="9"/>
      <c r="N101" s="9"/>
      <c r="O101" s="9"/>
      <c r="P101" s="4"/>
      <c r="Q101" s="4">
        <f>E101*C101+SUM(G101:O101)</f>
        <v>1243</v>
      </c>
      <c r="R101" s="7"/>
      <c r="S101" s="4">
        <f>Q101*$R$17</f>
        <v>14916</v>
      </c>
    </row>
    <row r="102" spans="1:19" ht="12" customHeight="1">
      <c r="A102" s="10"/>
      <c r="B102" s="26" t="s">
        <v>40</v>
      </c>
      <c r="C102" s="10">
        <f>SUM(C98:C101)</f>
        <v>4</v>
      </c>
      <c r="D102" s="10"/>
      <c r="E102" s="10"/>
      <c r="F102" s="10">
        <f>SUM(F98:F101)</f>
        <v>5496</v>
      </c>
      <c r="G102" s="10"/>
      <c r="H102" s="10"/>
      <c r="I102" s="11"/>
      <c r="J102" s="11"/>
      <c r="K102" s="11"/>
      <c r="L102" s="11"/>
      <c r="M102" s="11"/>
      <c r="N102" s="11"/>
      <c r="O102" s="11"/>
      <c r="P102" s="11"/>
      <c r="Q102" s="10">
        <f>SUM(Q98:Q101)</f>
        <v>5496</v>
      </c>
      <c r="R102" s="10">
        <f>SUM(R98:R101)</f>
        <v>0</v>
      </c>
      <c r="S102" s="10">
        <f>SUM(S98:S101)</f>
        <v>65952</v>
      </c>
    </row>
    <row r="103" spans="1:19" ht="25.5" customHeight="1">
      <c r="A103" s="3" t="s">
        <v>26</v>
      </c>
      <c r="B103" s="2" t="s">
        <v>494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" customHeight="1">
      <c r="A104" s="7"/>
      <c r="B104" s="31" t="s">
        <v>502</v>
      </c>
      <c r="C104" s="7">
        <v>1</v>
      </c>
      <c r="D104" s="7">
        <v>11</v>
      </c>
      <c r="E104" s="7">
        <v>1678</v>
      </c>
      <c r="F104" s="7">
        <f>E104*C104</f>
        <v>1678</v>
      </c>
      <c r="G104" s="7"/>
      <c r="H104" s="7"/>
      <c r="I104" s="4"/>
      <c r="J104" s="7"/>
      <c r="K104" s="7"/>
      <c r="L104" s="7"/>
      <c r="M104" s="7"/>
      <c r="N104" s="7"/>
      <c r="O104" s="7"/>
      <c r="P104" s="4"/>
      <c r="Q104" s="4">
        <f>E104*C104+SUM(G104:O104)</f>
        <v>1678</v>
      </c>
      <c r="R104" s="7"/>
      <c r="S104" s="4">
        <f>Q104*$R$17</f>
        <v>20136</v>
      </c>
    </row>
    <row r="105" spans="1:19" ht="12" customHeight="1">
      <c r="A105" s="7"/>
      <c r="B105" s="31" t="s">
        <v>58</v>
      </c>
      <c r="C105" s="7">
        <v>1</v>
      </c>
      <c r="D105" s="7">
        <v>10</v>
      </c>
      <c r="E105" s="7">
        <v>1551</v>
      </c>
      <c r="F105" s="7">
        <f>E105*C105</f>
        <v>1551</v>
      </c>
      <c r="G105" s="7"/>
      <c r="H105" s="7"/>
      <c r="I105" s="7"/>
      <c r="J105" s="7"/>
      <c r="K105" s="7"/>
      <c r="L105" s="7"/>
      <c r="M105" s="7"/>
      <c r="N105" s="32"/>
      <c r="O105" s="32"/>
      <c r="P105" s="7"/>
      <c r="Q105" s="4">
        <f>E105*C105+SUM(G105:O105)</f>
        <v>1551</v>
      </c>
      <c r="R105" s="7"/>
      <c r="S105" s="4">
        <f>Q105*$R$17</f>
        <v>18612</v>
      </c>
    </row>
    <row r="106" spans="1:19" ht="12" customHeight="1">
      <c r="A106" s="7"/>
      <c r="B106" s="31" t="s">
        <v>55</v>
      </c>
      <c r="C106" s="7">
        <v>2</v>
      </c>
      <c r="D106" s="7">
        <v>7</v>
      </c>
      <c r="E106" s="7">
        <v>1312</v>
      </c>
      <c r="F106" s="7">
        <f>E106*C106</f>
        <v>2624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4">
        <f>E106*C106+SUM(G106:O106)</f>
        <v>2624</v>
      </c>
      <c r="R106" s="7"/>
      <c r="S106" s="4">
        <f>Q106*$R$17</f>
        <v>31488</v>
      </c>
    </row>
    <row r="107" spans="1:19" ht="12" customHeight="1">
      <c r="A107" s="8"/>
      <c r="B107" s="27" t="s">
        <v>48</v>
      </c>
      <c r="C107" s="8">
        <v>0.5</v>
      </c>
      <c r="D107" s="8">
        <v>5</v>
      </c>
      <c r="E107" s="8">
        <v>1253</v>
      </c>
      <c r="F107" s="7">
        <f>E107*C107</f>
        <v>626.5</v>
      </c>
      <c r="G107" s="8"/>
      <c r="H107" s="8"/>
      <c r="I107" s="8"/>
      <c r="J107" s="8"/>
      <c r="K107" s="8"/>
      <c r="L107" s="8"/>
      <c r="M107" s="8"/>
      <c r="N107" s="8"/>
      <c r="O107" s="8"/>
      <c r="P107" s="7"/>
      <c r="Q107" s="4">
        <f>E107*C107+SUM(G107:O107)</f>
        <v>626.5</v>
      </c>
      <c r="R107" s="7"/>
      <c r="S107" s="4">
        <f>Q107*$R$17</f>
        <v>7518</v>
      </c>
    </row>
    <row r="108" spans="1:19" ht="12.75">
      <c r="A108" s="10"/>
      <c r="B108" s="26" t="s">
        <v>40</v>
      </c>
      <c r="C108" s="10">
        <f>SUM(C103:C107)</f>
        <v>4.5</v>
      </c>
      <c r="D108" s="10"/>
      <c r="E108" s="10"/>
      <c r="F108" s="10">
        <f>SUM(F104:F107)</f>
        <v>6479.5</v>
      </c>
      <c r="G108" s="10"/>
      <c r="H108" s="10"/>
      <c r="I108" s="11"/>
      <c r="J108" s="10"/>
      <c r="K108" s="10"/>
      <c r="L108" s="10"/>
      <c r="M108" s="10"/>
      <c r="N108" s="10"/>
      <c r="O108" s="10"/>
      <c r="P108" s="11"/>
      <c r="Q108" s="11">
        <f>SUM(Q103:Q107)</f>
        <v>6479.5</v>
      </c>
      <c r="R108" s="11">
        <f>SUM(R103:R107)</f>
        <v>0</v>
      </c>
      <c r="S108" s="11">
        <f>SUM(S103:S107)</f>
        <v>77754</v>
      </c>
    </row>
    <row r="109" spans="1:19" ht="12.75">
      <c r="A109" s="162" t="s">
        <v>28</v>
      </c>
      <c r="B109" s="2" t="s">
        <v>54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63"/>
      <c r="B110" s="31" t="s">
        <v>502</v>
      </c>
      <c r="C110" s="7">
        <v>1</v>
      </c>
      <c r="D110" s="7">
        <v>11</v>
      </c>
      <c r="E110" s="7">
        <v>1678</v>
      </c>
      <c r="F110" s="7">
        <f aca="true" t="shared" si="12" ref="F110:F115">E110*C110</f>
        <v>1678</v>
      </c>
      <c r="G110" s="7"/>
      <c r="H110" s="7"/>
      <c r="I110" s="4"/>
      <c r="J110" s="4"/>
      <c r="K110" s="4"/>
      <c r="L110" s="4"/>
      <c r="M110" s="4"/>
      <c r="N110" s="4"/>
      <c r="O110" s="4"/>
      <c r="P110" s="4"/>
      <c r="Q110" s="4">
        <f aca="true" t="shared" si="13" ref="Q110:Q115">E110*C110+SUM(G110:O110)</f>
        <v>1678</v>
      </c>
      <c r="R110" s="7"/>
      <c r="S110" s="4">
        <f aca="true" t="shared" si="14" ref="S110:S115">Q110*$R$17</f>
        <v>20136</v>
      </c>
    </row>
    <row r="111" spans="1:19" ht="12.75">
      <c r="A111" s="163"/>
      <c r="B111" s="31" t="s">
        <v>46</v>
      </c>
      <c r="C111" s="7">
        <v>1</v>
      </c>
      <c r="D111" s="7">
        <v>9</v>
      </c>
      <c r="E111" s="7">
        <v>1474</v>
      </c>
      <c r="F111" s="7">
        <f t="shared" si="12"/>
        <v>1474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4">
        <f t="shared" si="13"/>
        <v>1474</v>
      </c>
      <c r="R111" s="7"/>
      <c r="S111" s="4">
        <f t="shared" si="14"/>
        <v>17688</v>
      </c>
    </row>
    <row r="112" spans="1:19" ht="12.75">
      <c r="A112" s="163"/>
      <c r="B112" s="31" t="s">
        <v>47</v>
      </c>
      <c r="C112" s="7">
        <v>1</v>
      </c>
      <c r="D112" s="7">
        <v>8</v>
      </c>
      <c r="E112" s="7">
        <v>1397</v>
      </c>
      <c r="F112" s="7">
        <f t="shared" si="12"/>
        <v>1397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4">
        <f t="shared" si="13"/>
        <v>1397</v>
      </c>
      <c r="R112" s="7"/>
      <c r="S112" s="4">
        <f t="shared" si="14"/>
        <v>16764</v>
      </c>
    </row>
    <row r="113" spans="1:19" ht="12.75">
      <c r="A113" s="163"/>
      <c r="B113" s="31" t="s">
        <v>229</v>
      </c>
      <c r="C113" s="7">
        <v>2</v>
      </c>
      <c r="D113" s="7">
        <v>7</v>
      </c>
      <c r="E113" s="7">
        <v>1312</v>
      </c>
      <c r="F113" s="7">
        <f t="shared" si="12"/>
        <v>2624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4">
        <f t="shared" si="13"/>
        <v>2624</v>
      </c>
      <c r="R113" s="7"/>
      <c r="S113" s="4">
        <f t="shared" si="14"/>
        <v>31488</v>
      </c>
    </row>
    <row r="114" spans="1:19" ht="12.75">
      <c r="A114" s="163"/>
      <c r="B114" s="31" t="s">
        <v>482</v>
      </c>
      <c r="C114" s="7">
        <v>1</v>
      </c>
      <c r="D114" s="7">
        <v>5</v>
      </c>
      <c r="E114" s="7">
        <v>1253</v>
      </c>
      <c r="F114" s="7">
        <f t="shared" si="12"/>
        <v>1253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4">
        <f t="shared" si="13"/>
        <v>1253</v>
      </c>
      <c r="R114" s="7"/>
      <c r="S114" s="4">
        <f t="shared" si="14"/>
        <v>15036</v>
      </c>
    </row>
    <row r="115" spans="1:19" ht="12.75">
      <c r="A115" s="164"/>
      <c r="B115" s="27" t="s">
        <v>57</v>
      </c>
      <c r="C115" s="8">
        <v>1</v>
      </c>
      <c r="D115" s="8">
        <v>4</v>
      </c>
      <c r="E115" s="8">
        <v>1243</v>
      </c>
      <c r="F115" s="7">
        <f t="shared" si="12"/>
        <v>1243</v>
      </c>
      <c r="G115" s="8"/>
      <c r="H115" s="8"/>
      <c r="I115" s="8"/>
      <c r="J115" s="8"/>
      <c r="K115" s="8"/>
      <c r="L115" s="8"/>
      <c r="M115" s="8"/>
      <c r="N115" s="8"/>
      <c r="O115" s="8"/>
      <c r="P115" s="7"/>
      <c r="Q115" s="4">
        <f t="shared" si="13"/>
        <v>1243</v>
      </c>
      <c r="R115" s="7"/>
      <c r="S115" s="4">
        <f t="shared" si="14"/>
        <v>14916</v>
      </c>
    </row>
    <row r="116" spans="1:19" ht="12.75">
      <c r="A116" s="10"/>
      <c r="B116" s="26" t="s">
        <v>40</v>
      </c>
      <c r="C116" s="10">
        <f>SUM(C110:C115)</f>
        <v>7</v>
      </c>
      <c r="D116" s="10"/>
      <c r="E116" s="10"/>
      <c r="F116" s="10">
        <f>SUM(F110:F115)</f>
        <v>9669</v>
      </c>
      <c r="G116" s="10"/>
      <c r="H116" s="10"/>
      <c r="I116" s="11"/>
      <c r="J116" s="11"/>
      <c r="K116" s="11"/>
      <c r="L116" s="11"/>
      <c r="M116" s="11"/>
      <c r="N116" s="11"/>
      <c r="O116" s="11"/>
      <c r="P116" s="11"/>
      <c r="Q116" s="11">
        <f>SUM(Q110:Q115)</f>
        <v>9669</v>
      </c>
      <c r="R116" s="11">
        <f>SUM(R110:R115)</f>
        <v>0</v>
      </c>
      <c r="S116" s="11">
        <f>SUM(S110:S115)</f>
        <v>116028</v>
      </c>
    </row>
    <row r="117" spans="1:19" ht="26.25" customHeight="1">
      <c r="A117" s="3" t="s">
        <v>29</v>
      </c>
      <c r="B117" s="2" t="s">
        <v>320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 customHeight="1">
      <c r="A118" s="7"/>
      <c r="B118" s="31" t="s">
        <v>502</v>
      </c>
      <c r="C118" s="7">
        <v>1</v>
      </c>
      <c r="D118" s="7">
        <v>11</v>
      </c>
      <c r="E118" s="7">
        <v>1678</v>
      </c>
      <c r="F118" s="7">
        <f>E118*C118</f>
        <v>1678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4">
        <f>E118*C118+SUM(G118:O118)</f>
        <v>1678</v>
      </c>
      <c r="R118" s="7"/>
      <c r="S118" s="4">
        <f>Q118*$R$17</f>
        <v>20136</v>
      </c>
    </row>
    <row r="119" spans="1:19" ht="12.75" customHeight="1">
      <c r="A119" s="7"/>
      <c r="B119" s="31" t="s">
        <v>197</v>
      </c>
      <c r="C119" s="7">
        <v>1</v>
      </c>
      <c r="D119" s="7">
        <v>10</v>
      </c>
      <c r="E119" s="7">
        <v>1551</v>
      </c>
      <c r="F119" s="7">
        <f>E119*C119</f>
        <v>1551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4">
        <f>E119*C119+SUM(G119:O119)</f>
        <v>1551</v>
      </c>
      <c r="R119" s="7"/>
      <c r="S119" s="4">
        <f>Q119*$R$17</f>
        <v>18612</v>
      </c>
    </row>
    <row r="120" spans="1:19" ht="12.75" customHeight="1">
      <c r="A120" s="121"/>
      <c r="B120" s="31" t="s">
        <v>55</v>
      </c>
      <c r="C120" s="7">
        <v>1</v>
      </c>
      <c r="D120" s="7">
        <v>7</v>
      </c>
      <c r="E120" s="7">
        <v>1312</v>
      </c>
      <c r="F120" s="7">
        <f>E120*C120</f>
        <v>1312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4">
        <f>E120*C120+SUM(G120:O120)</f>
        <v>1312</v>
      </c>
      <c r="R120" s="7"/>
      <c r="S120" s="4">
        <f>Q120*$R$17</f>
        <v>15744</v>
      </c>
    </row>
    <row r="121" spans="1:19" ht="12.75" customHeight="1">
      <c r="A121" s="121"/>
      <c r="B121" s="27" t="s">
        <v>52</v>
      </c>
      <c r="C121" s="8">
        <v>1</v>
      </c>
      <c r="D121" s="8">
        <v>4</v>
      </c>
      <c r="E121" s="8">
        <v>1243</v>
      </c>
      <c r="F121" s="7">
        <f>E121*C121</f>
        <v>1243</v>
      </c>
      <c r="G121" s="8"/>
      <c r="H121" s="8"/>
      <c r="I121" s="8"/>
      <c r="J121" s="8"/>
      <c r="K121" s="8"/>
      <c r="L121" s="8"/>
      <c r="M121" s="8"/>
      <c r="N121" s="8"/>
      <c r="O121" s="8"/>
      <c r="P121" s="7"/>
      <c r="Q121" s="4">
        <f>E121*C121+SUM(G121:O121)</f>
        <v>1243</v>
      </c>
      <c r="R121" s="7"/>
      <c r="S121" s="4">
        <f>Q121*$R$17</f>
        <v>14916</v>
      </c>
    </row>
    <row r="122" spans="1:19" ht="12.75" customHeight="1">
      <c r="A122" s="68"/>
      <c r="B122" s="26" t="s">
        <v>40</v>
      </c>
      <c r="C122" s="10">
        <f>SUM(C118:C121)</f>
        <v>4</v>
      </c>
      <c r="D122" s="10"/>
      <c r="E122" s="10"/>
      <c r="F122" s="10">
        <f>SUM(F118:F121)</f>
        <v>5784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f>SUM(Q118:Q121)</f>
        <v>5784</v>
      </c>
      <c r="R122" s="10">
        <f>SUM(R118:R121)</f>
        <v>0</v>
      </c>
      <c r="S122" s="10">
        <f>SUM(S118:S121)</f>
        <v>69408</v>
      </c>
    </row>
    <row r="123" spans="1:19" ht="12.75" customHeight="1">
      <c r="A123" s="122" t="s">
        <v>59</v>
      </c>
      <c r="B123" s="122" t="s">
        <v>60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2.75" customHeight="1">
      <c r="A124" s="121"/>
      <c r="B124" s="31" t="s">
        <v>502</v>
      </c>
      <c r="C124" s="7">
        <v>1</v>
      </c>
      <c r="D124" s="7">
        <v>11</v>
      </c>
      <c r="E124" s="7">
        <v>1678</v>
      </c>
      <c r="F124" s="7">
        <f>E124*C124</f>
        <v>1678</v>
      </c>
      <c r="G124" s="7"/>
      <c r="H124" s="7"/>
      <c r="I124" s="4"/>
      <c r="J124" s="4"/>
      <c r="K124" s="4"/>
      <c r="L124" s="4"/>
      <c r="M124" s="4"/>
      <c r="N124" s="4"/>
      <c r="O124" s="4"/>
      <c r="P124" s="4"/>
      <c r="Q124" s="4">
        <f>E124*C124+SUM(G124:O124)</f>
        <v>1678</v>
      </c>
      <c r="R124" s="4"/>
      <c r="S124" s="4">
        <f>Q124*$R$17</f>
        <v>20136</v>
      </c>
    </row>
    <row r="125" spans="1:19" ht="12.75" customHeight="1">
      <c r="A125" s="121"/>
      <c r="B125" s="121" t="s">
        <v>61</v>
      </c>
      <c r="C125" s="7">
        <v>1</v>
      </c>
      <c r="D125" s="7">
        <v>7</v>
      </c>
      <c r="E125" s="7">
        <v>1312</v>
      </c>
      <c r="F125" s="7">
        <f>E125*C125</f>
        <v>1312</v>
      </c>
      <c r="G125" s="7"/>
      <c r="H125" s="7"/>
      <c r="I125" s="4"/>
      <c r="J125" s="4"/>
      <c r="K125" s="4"/>
      <c r="L125" s="4"/>
      <c r="M125" s="4"/>
      <c r="N125" s="4"/>
      <c r="O125" s="4"/>
      <c r="P125" s="4"/>
      <c r="Q125" s="4">
        <f>E125*C125+SUM(G125:O125)</f>
        <v>1312</v>
      </c>
      <c r="R125" s="4"/>
      <c r="S125" s="4">
        <f>Q125*$R$17</f>
        <v>15744</v>
      </c>
    </row>
    <row r="126" spans="1:19" ht="12.75" customHeight="1">
      <c r="A126" s="120"/>
      <c r="B126" s="120" t="s">
        <v>481</v>
      </c>
      <c r="C126" s="8">
        <v>2</v>
      </c>
      <c r="D126" s="8">
        <v>6</v>
      </c>
      <c r="E126" s="8">
        <v>1263</v>
      </c>
      <c r="F126" s="7">
        <f>E126*C126</f>
        <v>2526</v>
      </c>
      <c r="G126" s="8"/>
      <c r="H126" s="8"/>
      <c r="I126" s="9"/>
      <c r="J126" s="9"/>
      <c r="K126" s="9"/>
      <c r="L126" s="9"/>
      <c r="M126" s="9"/>
      <c r="N126" s="9"/>
      <c r="O126" s="9"/>
      <c r="P126" s="4"/>
      <c r="Q126" s="4">
        <f>E126*C126+SUM(G126:O126)</f>
        <v>2526</v>
      </c>
      <c r="R126" s="4"/>
      <c r="S126" s="4">
        <f>Q126*$R$17</f>
        <v>30312</v>
      </c>
    </row>
    <row r="127" spans="1:19" ht="12.75" customHeight="1">
      <c r="A127" s="68"/>
      <c r="B127" s="26" t="s">
        <v>40</v>
      </c>
      <c r="C127" s="10">
        <f>SUM(C123:C126)</f>
        <v>4</v>
      </c>
      <c r="D127" s="10"/>
      <c r="E127" s="10"/>
      <c r="F127" s="10">
        <f>SUM(F124:F126)</f>
        <v>5516</v>
      </c>
      <c r="G127" s="10"/>
      <c r="H127" s="10"/>
      <c r="I127" s="11"/>
      <c r="J127" s="11"/>
      <c r="K127" s="11"/>
      <c r="L127" s="11"/>
      <c r="M127" s="11"/>
      <c r="N127" s="11"/>
      <c r="O127" s="11"/>
      <c r="P127" s="11"/>
      <c r="Q127" s="11">
        <f>SUM(Q124:Q126)</f>
        <v>5516</v>
      </c>
      <c r="R127" s="11">
        <f>SUM(R123:R126)</f>
        <v>0</v>
      </c>
      <c r="S127" s="11">
        <f>SUM(S123:S126)</f>
        <v>66192</v>
      </c>
    </row>
    <row r="128" spans="1:19" ht="12.75" customHeight="1">
      <c r="A128" s="202" t="s">
        <v>62</v>
      </c>
      <c r="B128" s="122" t="s">
        <v>63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customHeight="1">
      <c r="A129" s="163"/>
      <c r="B129" s="31" t="s">
        <v>502</v>
      </c>
      <c r="C129" s="7">
        <v>1</v>
      </c>
      <c r="D129" s="7">
        <v>11</v>
      </c>
      <c r="E129" s="7">
        <v>1678</v>
      </c>
      <c r="F129" s="7">
        <f>E129*C129</f>
        <v>1678</v>
      </c>
      <c r="G129" s="7"/>
      <c r="H129" s="7"/>
      <c r="I129" s="4"/>
      <c r="J129" s="4"/>
      <c r="K129" s="4"/>
      <c r="L129" s="4"/>
      <c r="M129" s="4"/>
      <c r="N129" s="4"/>
      <c r="O129" s="4"/>
      <c r="P129" s="4"/>
      <c r="Q129" s="4">
        <f>E129*C129+SUM(G129:O129)</f>
        <v>1678</v>
      </c>
      <c r="R129" s="4"/>
      <c r="S129" s="4">
        <f>Q129*$R$17</f>
        <v>20136</v>
      </c>
    </row>
    <row r="130" spans="1:19" ht="12.75" customHeight="1">
      <c r="A130" s="163"/>
      <c r="B130" s="121" t="s">
        <v>190</v>
      </c>
      <c r="C130" s="7">
        <v>2</v>
      </c>
      <c r="D130" s="7">
        <v>10</v>
      </c>
      <c r="E130" s="7">
        <v>1551</v>
      </c>
      <c r="F130" s="7">
        <f>E130*C130</f>
        <v>3102</v>
      </c>
      <c r="G130" s="8"/>
      <c r="H130" s="8"/>
      <c r="I130" s="9"/>
      <c r="J130" s="9"/>
      <c r="K130" s="9"/>
      <c r="L130" s="9"/>
      <c r="M130" s="9"/>
      <c r="N130" s="9"/>
      <c r="O130" s="9"/>
      <c r="P130" s="4"/>
      <c r="Q130" s="4">
        <f>E130*C130+SUM(G130:O130)</f>
        <v>3102</v>
      </c>
      <c r="R130" s="4"/>
      <c r="S130" s="4">
        <f>Q130*$R$17</f>
        <v>37224</v>
      </c>
    </row>
    <row r="131" spans="1:19" ht="12.75" customHeight="1">
      <c r="A131" s="68"/>
      <c r="B131" s="26" t="s">
        <v>40</v>
      </c>
      <c r="C131" s="10">
        <f>SUM(C128:C130)</f>
        <v>3</v>
      </c>
      <c r="D131" s="10"/>
      <c r="E131" s="10"/>
      <c r="F131" s="10">
        <f>SUM(F128:F130)</f>
        <v>4780</v>
      </c>
      <c r="G131" s="10"/>
      <c r="H131" s="10"/>
      <c r="I131" s="11"/>
      <c r="J131" s="11"/>
      <c r="K131" s="11"/>
      <c r="L131" s="11"/>
      <c r="M131" s="11"/>
      <c r="N131" s="11"/>
      <c r="O131" s="11"/>
      <c r="P131" s="11"/>
      <c r="Q131" s="11">
        <f>SUM(Q128:Q130)</f>
        <v>4780</v>
      </c>
      <c r="R131" s="11">
        <f>SUM(R128:R130)</f>
        <v>0</v>
      </c>
      <c r="S131" s="11">
        <f>SUM(S128:S130)</f>
        <v>57360</v>
      </c>
    </row>
    <row r="132" spans="1:19" ht="12.75" customHeight="1">
      <c r="A132" s="122" t="s">
        <v>64</v>
      </c>
      <c r="B132" s="122" t="s">
        <v>65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1"/>
      <c r="Q132" s="4"/>
      <c r="R132" s="3"/>
      <c r="S132" s="3"/>
    </row>
    <row r="133" spans="1:19" ht="12.75" customHeight="1">
      <c r="A133" s="121"/>
      <c r="B133" s="31" t="s">
        <v>502</v>
      </c>
      <c r="C133" s="7">
        <v>1</v>
      </c>
      <c r="D133" s="7">
        <v>11</v>
      </c>
      <c r="E133" s="7">
        <v>1678</v>
      </c>
      <c r="F133" s="7">
        <f>E133*C133</f>
        <v>1678</v>
      </c>
      <c r="G133" s="7"/>
      <c r="H133" s="7"/>
      <c r="I133" s="4"/>
      <c r="J133" s="4"/>
      <c r="K133" s="7"/>
      <c r="L133" s="7"/>
      <c r="M133" s="7"/>
      <c r="N133" s="7"/>
      <c r="O133" s="7"/>
      <c r="P133" s="4"/>
      <c r="Q133" s="4">
        <f>E133*C133+SUM(G133:O133)</f>
        <v>1678</v>
      </c>
      <c r="R133" s="7"/>
      <c r="S133" s="4">
        <f>Q133*$R$17</f>
        <v>20136</v>
      </c>
    </row>
    <row r="134" spans="1:19" ht="12.75" customHeight="1">
      <c r="A134" s="121"/>
      <c r="B134" s="31" t="s">
        <v>56</v>
      </c>
      <c r="C134" s="7">
        <v>1</v>
      </c>
      <c r="D134" s="7">
        <v>8</v>
      </c>
      <c r="E134" s="7">
        <v>1397</v>
      </c>
      <c r="F134" s="7">
        <f>E134*C134</f>
        <v>1397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4">
        <f>E134*C134+SUM(G134:O134)</f>
        <v>1397</v>
      </c>
      <c r="R134" s="7"/>
      <c r="S134" s="4">
        <f>Q134*$R$17</f>
        <v>16764</v>
      </c>
    </row>
    <row r="135" spans="1:19" ht="12.75" customHeight="1">
      <c r="A135" s="121"/>
      <c r="B135" s="31" t="s">
        <v>77</v>
      </c>
      <c r="C135" s="7">
        <v>1</v>
      </c>
      <c r="D135" s="7">
        <v>7</v>
      </c>
      <c r="E135" s="7">
        <v>1312</v>
      </c>
      <c r="F135" s="7">
        <f>E135*C135</f>
        <v>1312</v>
      </c>
      <c r="G135" s="7"/>
      <c r="H135" s="7"/>
      <c r="I135" s="4"/>
      <c r="J135" s="4"/>
      <c r="K135" s="4"/>
      <c r="L135" s="4"/>
      <c r="M135" s="4"/>
      <c r="N135" s="4"/>
      <c r="O135" s="4"/>
      <c r="P135" s="4"/>
      <c r="Q135" s="4">
        <f>E135*C135+SUM(G135:O135)</f>
        <v>1312</v>
      </c>
      <c r="R135" s="4"/>
      <c r="S135" s="4">
        <f>Q135*$R$17</f>
        <v>15744</v>
      </c>
    </row>
    <row r="136" spans="1:19" ht="12.75" customHeight="1">
      <c r="A136" s="121"/>
      <c r="B136" s="31" t="s">
        <v>483</v>
      </c>
      <c r="C136" s="7">
        <v>1</v>
      </c>
      <c r="D136" s="7">
        <v>6</v>
      </c>
      <c r="E136" s="7">
        <v>1263</v>
      </c>
      <c r="F136" s="7">
        <f>E136*C136</f>
        <v>1263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4">
        <f>E136*C136+SUM(G136:O136)</f>
        <v>1263</v>
      </c>
      <c r="R136" s="7"/>
      <c r="S136" s="4">
        <f>Q136*$R$17</f>
        <v>15156</v>
      </c>
    </row>
    <row r="137" spans="1:19" ht="12.75" customHeight="1">
      <c r="A137" s="121"/>
      <c r="B137" s="31" t="s">
        <v>50</v>
      </c>
      <c r="C137" s="7">
        <v>1</v>
      </c>
      <c r="D137" s="7">
        <v>4</v>
      </c>
      <c r="E137" s="7">
        <v>1243</v>
      </c>
      <c r="F137" s="7">
        <f>E137*C137</f>
        <v>1243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4">
        <f>E137*C137+SUM(G137:O137)</f>
        <v>1243</v>
      </c>
      <c r="R137" s="7"/>
      <c r="S137" s="4">
        <f>Q137*$R$17</f>
        <v>14916</v>
      </c>
    </row>
    <row r="138" spans="1:19" ht="12.75" customHeight="1">
      <c r="A138" s="68"/>
      <c r="B138" s="26" t="s">
        <v>40</v>
      </c>
      <c r="C138" s="10">
        <f>SUM(C133:C137)</f>
        <v>5</v>
      </c>
      <c r="D138" s="10"/>
      <c r="E138" s="10"/>
      <c r="F138" s="10">
        <f>SUM(F133:F137)</f>
        <v>6893</v>
      </c>
      <c r="G138" s="10"/>
      <c r="H138" s="10"/>
      <c r="I138" s="11"/>
      <c r="J138" s="11"/>
      <c r="K138" s="11"/>
      <c r="L138" s="11"/>
      <c r="M138" s="11"/>
      <c r="N138" s="11"/>
      <c r="O138" s="11"/>
      <c r="P138" s="11"/>
      <c r="Q138" s="11">
        <f>SUM(Q133:Q137)</f>
        <v>6893</v>
      </c>
      <c r="R138" s="11">
        <f>SUM(R133:R137)</f>
        <v>0</v>
      </c>
      <c r="S138" s="11">
        <f>SUM(S133:S137)</f>
        <v>82716</v>
      </c>
    </row>
    <row r="139" spans="1:19" ht="12.75" customHeight="1">
      <c r="A139" s="3" t="s">
        <v>66</v>
      </c>
      <c r="B139" s="39" t="s">
        <v>293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"/>
    </row>
    <row r="140" spans="1:19" ht="12.75" customHeight="1">
      <c r="A140" s="7"/>
      <c r="B140" s="31" t="s">
        <v>502</v>
      </c>
      <c r="C140" s="7">
        <v>1</v>
      </c>
      <c r="D140" s="7">
        <v>11</v>
      </c>
      <c r="E140" s="7">
        <v>1678</v>
      </c>
      <c r="F140" s="7">
        <f>E140*C140</f>
        <v>1678</v>
      </c>
      <c r="G140" s="7"/>
      <c r="H140" s="7"/>
      <c r="I140" s="4"/>
      <c r="J140" s="7"/>
      <c r="K140" s="7"/>
      <c r="L140" s="7"/>
      <c r="M140" s="7"/>
      <c r="N140" s="7"/>
      <c r="O140" s="7"/>
      <c r="P140" s="4"/>
      <c r="Q140" s="4">
        <f>E140*C140+SUM(G140:O140)</f>
        <v>1678</v>
      </c>
      <c r="R140" s="7"/>
      <c r="S140" s="4">
        <f>Q140*$R$17</f>
        <v>20136</v>
      </c>
    </row>
    <row r="141" spans="1:19" ht="12.75" customHeight="1">
      <c r="A141" s="7"/>
      <c r="B141" s="31" t="s">
        <v>51</v>
      </c>
      <c r="C141" s="7">
        <v>3</v>
      </c>
      <c r="D141" s="7">
        <v>7</v>
      </c>
      <c r="E141" s="7">
        <v>1312</v>
      </c>
      <c r="F141" s="7">
        <f>E141*C141</f>
        <v>3936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4">
        <f>E141*C141+SUM(G141:O141)</f>
        <v>3936</v>
      </c>
      <c r="R141" s="7"/>
      <c r="S141" s="4">
        <f>Q141*$R$17</f>
        <v>47232</v>
      </c>
    </row>
    <row r="142" spans="1:19" ht="12.75" customHeight="1">
      <c r="A142" s="7"/>
      <c r="B142" s="31" t="s">
        <v>198</v>
      </c>
      <c r="C142" s="7">
        <v>0.5</v>
      </c>
      <c r="D142" s="7">
        <v>4</v>
      </c>
      <c r="E142" s="7">
        <v>1243</v>
      </c>
      <c r="F142" s="7">
        <f>E142*C142</f>
        <v>621.5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4">
        <f>E142*C142+SUM(G142:O142)</f>
        <v>621.5</v>
      </c>
      <c r="R142" s="7"/>
      <c r="S142" s="4">
        <f>Q142*$R$17</f>
        <v>7458</v>
      </c>
    </row>
    <row r="143" spans="1:19" ht="12.75" customHeight="1">
      <c r="A143" s="8"/>
      <c r="B143" s="27" t="s">
        <v>48</v>
      </c>
      <c r="C143" s="8">
        <v>0.5</v>
      </c>
      <c r="D143" s="8">
        <v>5</v>
      </c>
      <c r="E143" s="8">
        <v>1253</v>
      </c>
      <c r="F143" s="7">
        <f>E143*C143</f>
        <v>626.5</v>
      </c>
      <c r="G143" s="8"/>
      <c r="H143" s="8"/>
      <c r="I143" s="8"/>
      <c r="J143" s="8"/>
      <c r="K143" s="8"/>
      <c r="L143" s="8"/>
      <c r="M143" s="8"/>
      <c r="N143" s="8"/>
      <c r="O143" s="8"/>
      <c r="P143" s="7"/>
      <c r="Q143" s="4">
        <f>E143*C143+SUM(G143:O143)</f>
        <v>626.5</v>
      </c>
      <c r="R143" s="7"/>
      <c r="S143" s="4">
        <f>Q143*$R$17</f>
        <v>7518</v>
      </c>
    </row>
    <row r="144" spans="1:19" ht="12.75" customHeight="1">
      <c r="A144" s="10"/>
      <c r="B144" s="26" t="s">
        <v>40</v>
      </c>
      <c r="C144" s="10">
        <f>SUM(C140:C143)</f>
        <v>5</v>
      </c>
      <c r="D144" s="10"/>
      <c r="E144" s="10"/>
      <c r="F144" s="10">
        <f>SUM(F140:F143)</f>
        <v>6862</v>
      </c>
      <c r="G144" s="10"/>
      <c r="H144" s="10"/>
      <c r="I144" s="11"/>
      <c r="J144" s="11"/>
      <c r="K144" s="11"/>
      <c r="L144" s="11"/>
      <c r="M144" s="11"/>
      <c r="N144" s="11"/>
      <c r="O144" s="11"/>
      <c r="P144" s="11"/>
      <c r="Q144" s="11">
        <f>SUM(Q139:Q143)</f>
        <v>6862</v>
      </c>
      <c r="R144" s="11">
        <f>SUM(R140:R143)</f>
        <v>0</v>
      </c>
      <c r="S144" s="11">
        <f>SUM(S140:S143)</f>
        <v>82344</v>
      </c>
    </row>
    <row r="145" spans="1:19" ht="12.75" customHeight="1">
      <c r="A145" s="3" t="s">
        <v>67</v>
      </c>
      <c r="B145" s="2" t="s">
        <v>262</v>
      </c>
      <c r="C145" s="7"/>
      <c r="D145" s="7"/>
      <c r="E145" s="7"/>
      <c r="F145" s="7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2.75" customHeight="1">
      <c r="A146" s="7"/>
      <c r="B146" s="31" t="s">
        <v>502</v>
      </c>
      <c r="C146" s="7">
        <v>1</v>
      </c>
      <c r="D146" s="7">
        <v>11</v>
      </c>
      <c r="E146" s="7">
        <v>1678</v>
      </c>
      <c r="F146" s="7">
        <f>E146*C146</f>
        <v>1678</v>
      </c>
      <c r="G146" s="121"/>
      <c r="H146" s="121"/>
      <c r="I146" s="4"/>
      <c r="J146" s="121"/>
      <c r="K146" s="121"/>
      <c r="L146" s="121"/>
      <c r="M146" s="121"/>
      <c r="N146" s="121"/>
      <c r="O146" s="121"/>
      <c r="P146" s="4"/>
      <c r="Q146" s="4">
        <f>E146*C146+SUM(G146:O146)</f>
        <v>1678</v>
      </c>
      <c r="R146" s="121"/>
      <c r="S146" s="4">
        <f>Q146*$R$17</f>
        <v>20136</v>
      </c>
    </row>
    <row r="147" spans="1:19" ht="12.75" customHeight="1">
      <c r="A147" s="7"/>
      <c r="B147" s="31" t="s">
        <v>58</v>
      </c>
      <c r="C147" s="7">
        <v>1</v>
      </c>
      <c r="D147" s="7">
        <v>10</v>
      </c>
      <c r="E147" s="7">
        <v>1551</v>
      </c>
      <c r="F147" s="7">
        <f>E147*C147</f>
        <v>1551</v>
      </c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4">
        <f>E147*C147+SUM(G147:O147)</f>
        <v>1551</v>
      </c>
      <c r="R147" s="121"/>
      <c r="S147" s="4">
        <f>Q147*$R$17</f>
        <v>18612</v>
      </c>
    </row>
    <row r="148" spans="1:19" ht="12.75" customHeight="1">
      <c r="A148" s="7"/>
      <c r="B148" s="31" t="s">
        <v>182</v>
      </c>
      <c r="C148" s="7">
        <v>1</v>
      </c>
      <c r="D148" s="7">
        <v>9</v>
      </c>
      <c r="E148" s="7">
        <v>1474</v>
      </c>
      <c r="F148" s="7">
        <f>E148*C148</f>
        <v>1474</v>
      </c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4">
        <f>E148*C148+SUM(G148:O148)</f>
        <v>1474</v>
      </c>
      <c r="R148" s="121"/>
      <c r="S148" s="4">
        <f>Q148*$R$17</f>
        <v>17688</v>
      </c>
    </row>
    <row r="149" spans="1:19" ht="12.75" customHeight="1">
      <c r="A149" s="7"/>
      <c r="B149" s="31" t="s">
        <v>227</v>
      </c>
      <c r="C149" s="7">
        <v>1</v>
      </c>
      <c r="D149" s="7">
        <v>4</v>
      </c>
      <c r="E149" s="7">
        <v>1243</v>
      </c>
      <c r="F149" s="7">
        <f>E149*C149</f>
        <v>1243</v>
      </c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4">
        <f>E149*C149+SUM(G149:O149)</f>
        <v>1243</v>
      </c>
      <c r="R149" s="121"/>
      <c r="S149" s="4">
        <f>Q149*$R$17</f>
        <v>14916</v>
      </c>
    </row>
    <row r="150" spans="1:19" ht="12.75" customHeight="1">
      <c r="A150" s="10"/>
      <c r="B150" s="26" t="s">
        <v>40</v>
      </c>
      <c r="C150" s="10">
        <f>SUM(C146:C149)</f>
        <v>4</v>
      </c>
      <c r="D150" s="10"/>
      <c r="E150" s="10"/>
      <c r="F150" s="10">
        <f>SUM(F146:F149)</f>
        <v>5946</v>
      </c>
      <c r="G150" s="10"/>
      <c r="H150" s="10"/>
      <c r="I150" s="11"/>
      <c r="J150" s="11"/>
      <c r="K150" s="11"/>
      <c r="L150" s="11"/>
      <c r="M150" s="11"/>
      <c r="N150" s="11"/>
      <c r="O150" s="11"/>
      <c r="P150" s="11"/>
      <c r="Q150" s="11">
        <f>SUM(Q146:Q149)</f>
        <v>5946</v>
      </c>
      <c r="R150" s="11">
        <f>SUM(R146:R149)</f>
        <v>0</v>
      </c>
      <c r="S150" s="11">
        <f>SUM(S146:S149)</f>
        <v>71352</v>
      </c>
    </row>
    <row r="151" spans="1:19" ht="12.75" customHeight="1">
      <c r="A151" s="3" t="s">
        <v>68</v>
      </c>
      <c r="B151" s="122" t="s">
        <v>69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 customHeight="1">
      <c r="A152" s="7"/>
      <c r="B152" s="31" t="s">
        <v>502</v>
      </c>
      <c r="C152" s="7">
        <v>1</v>
      </c>
      <c r="D152" s="7">
        <v>11</v>
      </c>
      <c r="E152" s="7">
        <v>1678</v>
      </c>
      <c r="F152" s="7">
        <f>E152*C152</f>
        <v>1678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4">
        <f>E152*C152+SUM(G152:O152)</f>
        <v>1678</v>
      </c>
      <c r="R152" s="7"/>
      <c r="S152" s="4">
        <f>Q152*$R$17</f>
        <v>20136</v>
      </c>
    </row>
    <row r="153" spans="1:19" ht="12.75" customHeight="1">
      <c r="A153" s="7"/>
      <c r="B153" s="31" t="s">
        <v>206</v>
      </c>
      <c r="C153" s="7">
        <v>1</v>
      </c>
      <c r="D153" s="7">
        <v>10</v>
      </c>
      <c r="E153" s="7">
        <v>1551</v>
      </c>
      <c r="F153" s="7">
        <f>E153*C153</f>
        <v>1551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4">
        <f>E153*C153+SUM(G153:O153)</f>
        <v>1551</v>
      </c>
      <c r="R153" s="7"/>
      <c r="S153" s="4">
        <f>Q153*$R$17</f>
        <v>18612</v>
      </c>
    </row>
    <row r="154" spans="1:19" ht="12.75" customHeight="1">
      <c r="A154" s="7"/>
      <c r="B154" s="31" t="s">
        <v>481</v>
      </c>
      <c r="C154" s="7">
        <v>0.5</v>
      </c>
      <c r="D154" s="7">
        <v>6</v>
      </c>
      <c r="E154" s="7">
        <v>1263</v>
      </c>
      <c r="F154" s="7">
        <f>E154*C154</f>
        <v>631.5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4">
        <f>E154*C154+SUM(G154:O154)</f>
        <v>631.5</v>
      </c>
      <c r="R154" s="7"/>
      <c r="S154" s="4">
        <f>Q154*$R$17</f>
        <v>7578</v>
      </c>
    </row>
    <row r="155" spans="1:19" ht="12.75" customHeight="1">
      <c r="A155" s="7"/>
      <c r="B155" s="31" t="s">
        <v>48</v>
      </c>
      <c r="C155" s="7">
        <v>1</v>
      </c>
      <c r="D155" s="7">
        <v>5</v>
      </c>
      <c r="E155" s="7">
        <v>1253</v>
      </c>
      <c r="F155" s="7">
        <f>E155*C155</f>
        <v>1253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4">
        <f>E155*C155+SUM(G155:O155)</f>
        <v>1253</v>
      </c>
      <c r="R155" s="7"/>
      <c r="S155" s="4">
        <f>Q155*$R$17</f>
        <v>15036</v>
      </c>
    </row>
    <row r="156" spans="1:19" ht="12.75" customHeight="1">
      <c r="A156" s="8"/>
      <c r="B156" s="27" t="s">
        <v>50</v>
      </c>
      <c r="C156" s="8">
        <v>0.5</v>
      </c>
      <c r="D156" s="8">
        <v>4</v>
      </c>
      <c r="E156" s="8">
        <v>1243</v>
      </c>
      <c r="F156" s="7">
        <f>E156*C156</f>
        <v>621.5</v>
      </c>
      <c r="G156" s="8"/>
      <c r="H156" s="8"/>
      <c r="I156" s="8"/>
      <c r="J156" s="8"/>
      <c r="K156" s="8"/>
      <c r="L156" s="8"/>
      <c r="M156" s="8"/>
      <c r="N156" s="8"/>
      <c r="O156" s="8"/>
      <c r="P156" s="7"/>
      <c r="Q156" s="4">
        <f>E156*C156+SUM(G156:O156)</f>
        <v>621.5</v>
      </c>
      <c r="R156" s="7"/>
      <c r="S156" s="4">
        <f>Q156*$R$17</f>
        <v>7458</v>
      </c>
    </row>
    <row r="157" spans="1:19" ht="12.75" customHeight="1">
      <c r="A157" s="10"/>
      <c r="B157" s="26" t="s">
        <v>40</v>
      </c>
      <c r="C157" s="10">
        <f>SUM(C152:C156)</f>
        <v>4</v>
      </c>
      <c r="D157" s="10"/>
      <c r="E157" s="10"/>
      <c r="F157" s="10">
        <f>SUM(F152:F156)</f>
        <v>5735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>
        <f>SUM(Q152:Q156)</f>
        <v>5735</v>
      </c>
      <c r="R157" s="10">
        <f>SUM(R152:R156)</f>
        <v>0</v>
      </c>
      <c r="S157" s="10">
        <f>SUM(S152:S156)</f>
        <v>68820</v>
      </c>
    </row>
    <row r="158" spans="1:19" ht="24.75" customHeight="1">
      <c r="A158" s="3" t="s">
        <v>70</v>
      </c>
      <c r="B158" s="2" t="s">
        <v>435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 customHeight="1">
      <c r="A159" s="7"/>
      <c r="B159" s="31" t="s">
        <v>502</v>
      </c>
      <c r="C159" s="7">
        <v>1</v>
      </c>
      <c r="D159" s="7">
        <v>11</v>
      </c>
      <c r="E159" s="7">
        <v>1678</v>
      </c>
      <c r="F159" s="7">
        <f aca="true" t="shared" si="15" ref="F159:F164">E159*C159</f>
        <v>1678</v>
      </c>
      <c r="G159" s="7"/>
      <c r="H159" s="7"/>
      <c r="I159" s="4"/>
      <c r="J159" s="4"/>
      <c r="K159" s="7"/>
      <c r="L159" s="7"/>
      <c r="M159" s="7"/>
      <c r="N159" s="7"/>
      <c r="O159" s="7"/>
      <c r="P159" s="4"/>
      <c r="Q159" s="4">
        <f aca="true" t="shared" si="16" ref="Q159:Q164">E159*C159+SUM(G159:O159)</f>
        <v>1678</v>
      </c>
      <c r="R159" s="7"/>
      <c r="S159" s="4">
        <f aca="true" t="shared" si="17" ref="S159:S164">Q159*$R$17</f>
        <v>20136</v>
      </c>
    </row>
    <row r="160" spans="1:19" ht="12.75" customHeight="1">
      <c r="A160" s="7"/>
      <c r="B160" s="31" t="s">
        <v>206</v>
      </c>
      <c r="C160" s="7">
        <v>1</v>
      </c>
      <c r="D160" s="7">
        <v>10</v>
      </c>
      <c r="E160" s="7">
        <v>1551</v>
      </c>
      <c r="F160" s="7">
        <f t="shared" si="15"/>
        <v>1551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4">
        <f t="shared" si="16"/>
        <v>1551</v>
      </c>
      <c r="R160" s="7"/>
      <c r="S160" s="4">
        <f t="shared" si="17"/>
        <v>18612</v>
      </c>
    </row>
    <row r="161" spans="1:19" ht="12.75" customHeight="1">
      <c r="A161" s="7"/>
      <c r="B161" s="31" t="s">
        <v>55</v>
      </c>
      <c r="C161" s="7">
        <v>1</v>
      </c>
      <c r="D161" s="7">
        <v>7</v>
      </c>
      <c r="E161" s="7">
        <v>1312</v>
      </c>
      <c r="F161" s="7">
        <f t="shared" si="15"/>
        <v>1312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4">
        <f t="shared" si="16"/>
        <v>1312</v>
      </c>
      <c r="R161" s="7"/>
      <c r="S161" s="4">
        <f t="shared" si="17"/>
        <v>15744</v>
      </c>
    </row>
    <row r="162" spans="1:19" ht="12.75" customHeight="1">
      <c r="A162" s="7"/>
      <c r="B162" s="31" t="s">
        <v>483</v>
      </c>
      <c r="C162" s="7">
        <v>1</v>
      </c>
      <c r="D162" s="7">
        <v>6</v>
      </c>
      <c r="E162" s="7">
        <v>1263</v>
      </c>
      <c r="F162" s="7">
        <f t="shared" si="15"/>
        <v>1263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4">
        <f t="shared" si="16"/>
        <v>1263</v>
      </c>
      <c r="R162" s="7"/>
      <c r="S162" s="4">
        <f t="shared" si="17"/>
        <v>15156</v>
      </c>
    </row>
    <row r="163" spans="1:19" ht="12.75" customHeight="1">
      <c r="A163" s="7"/>
      <c r="B163" s="31" t="s">
        <v>484</v>
      </c>
      <c r="C163" s="7">
        <v>0.5</v>
      </c>
      <c r="D163" s="7">
        <v>4</v>
      </c>
      <c r="E163" s="7">
        <v>1243</v>
      </c>
      <c r="F163" s="7">
        <f t="shared" si="15"/>
        <v>621.5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4">
        <f t="shared" si="16"/>
        <v>621.5</v>
      </c>
      <c r="R163" s="7"/>
      <c r="S163" s="4">
        <f t="shared" si="17"/>
        <v>7458</v>
      </c>
    </row>
    <row r="164" spans="1:19" ht="12.75" customHeight="1">
      <c r="A164" s="8"/>
      <c r="B164" s="27" t="s">
        <v>57</v>
      </c>
      <c r="C164" s="8">
        <v>1</v>
      </c>
      <c r="D164" s="8">
        <v>4</v>
      </c>
      <c r="E164" s="8">
        <v>1243</v>
      </c>
      <c r="F164" s="7">
        <f t="shared" si="15"/>
        <v>1243</v>
      </c>
      <c r="G164" s="8"/>
      <c r="H164" s="8"/>
      <c r="I164" s="8"/>
      <c r="J164" s="8"/>
      <c r="K164" s="8"/>
      <c r="L164" s="8"/>
      <c r="M164" s="8"/>
      <c r="N164" s="8"/>
      <c r="O164" s="8"/>
      <c r="P164" s="7"/>
      <c r="Q164" s="4">
        <f t="shared" si="16"/>
        <v>1243</v>
      </c>
      <c r="R164" s="7"/>
      <c r="S164" s="4">
        <f t="shared" si="17"/>
        <v>14916</v>
      </c>
    </row>
    <row r="165" spans="1:19" ht="12.75" customHeight="1">
      <c r="A165" s="10"/>
      <c r="B165" s="26" t="s">
        <v>40</v>
      </c>
      <c r="C165" s="10">
        <f>SUM(C159:C164)</f>
        <v>5.5</v>
      </c>
      <c r="D165" s="10"/>
      <c r="E165" s="10"/>
      <c r="F165" s="10">
        <f>SUM(F159:F164)</f>
        <v>7668.5</v>
      </c>
      <c r="G165" s="10"/>
      <c r="H165" s="10"/>
      <c r="I165" s="11"/>
      <c r="J165" s="11"/>
      <c r="K165" s="11"/>
      <c r="L165" s="11"/>
      <c r="M165" s="11"/>
      <c r="N165" s="11"/>
      <c r="O165" s="11"/>
      <c r="P165" s="11"/>
      <c r="Q165" s="11">
        <f>SUM(Q159:Q164)</f>
        <v>7668.5</v>
      </c>
      <c r="R165" s="11">
        <f>SUM(R159:R164)</f>
        <v>0</v>
      </c>
      <c r="S165" s="11">
        <f>SUM(S159:S164)</f>
        <v>92022</v>
      </c>
    </row>
    <row r="166" spans="1:19" ht="12.75" customHeight="1">
      <c r="A166" s="3" t="s">
        <v>71</v>
      </c>
      <c r="B166" s="2" t="s">
        <v>235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 customHeight="1">
      <c r="A167" s="7"/>
      <c r="B167" s="31" t="s">
        <v>502</v>
      </c>
      <c r="C167" s="7">
        <v>1</v>
      </c>
      <c r="D167" s="7">
        <v>11</v>
      </c>
      <c r="E167" s="7">
        <v>1678</v>
      </c>
      <c r="F167" s="7">
        <f>E167*C167</f>
        <v>1678</v>
      </c>
      <c r="G167" s="7"/>
      <c r="H167" s="7"/>
      <c r="I167" s="4"/>
      <c r="J167" s="4"/>
      <c r="K167" s="7"/>
      <c r="L167" s="7"/>
      <c r="M167" s="7"/>
      <c r="N167" s="7"/>
      <c r="O167" s="7"/>
      <c r="P167" s="4"/>
      <c r="Q167" s="4">
        <f>E167*C167+SUM(G167:O167)</f>
        <v>1678</v>
      </c>
      <c r="R167" s="7"/>
      <c r="S167" s="4">
        <f>Q167*$R$17</f>
        <v>20136</v>
      </c>
    </row>
    <row r="168" spans="1:19" ht="12.75" customHeight="1">
      <c r="A168" s="7"/>
      <c r="B168" s="31" t="s">
        <v>58</v>
      </c>
      <c r="C168" s="7">
        <v>1</v>
      </c>
      <c r="D168" s="7">
        <v>10</v>
      </c>
      <c r="E168" s="7">
        <v>1551</v>
      </c>
      <c r="F168" s="7">
        <f>E168*C168</f>
        <v>1551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4">
        <f>E168*C168+SUM(G168:O168)</f>
        <v>1551</v>
      </c>
      <c r="R168" s="7"/>
      <c r="S168" s="4">
        <f>Q168*$R$17</f>
        <v>18612</v>
      </c>
    </row>
    <row r="169" spans="1:19" ht="12.75" customHeight="1">
      <c r="A169" s="7"/>
      <c r="B169" s="31" t="s">
        <v>481</v>
      </c>
      <c r="C169" s="7">
        <v>1</v>
      </c>
      <c r="D169" s="7">
        <v>6</v>
      </c>
      <c r="E169" s="7">
        <v>1263</v>
      </c>
      <c r="F169" s="7">
        <f>E169*C169</f>
        <v>1263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4">
        <f>E169*C169+SUM(G169:O169)</f>
        <v>1263</v>
      </c>
      <c r="R169" s="7"/>
      <c r="S169" s="4">
        <f>Q169*$R$17</f>
        <v>15156</v>
      </c>
    </row>
    <row r="170" spans="1:19" ht="12.75" customHeight="1">
      <c r="A170" s="7"/>
      <c r="B170" s="31" t="s">
        <v>485</v>
      </c>
      <c r="C170" s="7">
        <v>1</v>
      </c>
      <c r="D170" s="7">
        <v>5</v>
      </c>
      <c r="E170" s="7">
        <v>1253</v>
      </c>
      <c r="F170" s="7">
        <f>E170*C170</f>
        <v>1253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4">
        <f>E170*C170+SUM(G170:O170)</f>
        <v>1253</v>
      </c>
      <c r="R170" s="7"/>
      <c r="S170" s="4">
        <f>Q170*$R$17</f>
        <v>15036</v>
      </c>
    </row>
    <row r="171" spans="1:19" ht="12.75" customHeight="1">
      <c r="A171" s="10"/>
      <c r="B171" s="26" t="s">
        <v>40</v>
      </c>
      <c r="C171" s="10">
        <f>SUM(C167:C170)</f>
        <v>4</v>
      </c>
      <c r="D171" s="10"/>
      <c r="E171" s="10"/>
      <c r="F171" s="10">
        <f>SUM(F167:F170)</f>
        <v>5745</v>
      </c>
      <c r="G171" s="10"/>
      <c r="H171" s="10"/>
      <c r="I171" s="11"/>
      <c r="J171" s="11"/>
      <c r="K171" s="10"/>
      <c r="L171" s="10"/>
      <c r="M171" s="10"/>
      <c r="N171" s="10"/>
      <c r="O171" s="10"/>
      <c r="P171" s="11"/>
      <c r="Q171" s="10">
        <f>SUM(Q167:Q170)</f>
        <v>5745</v>
      </c>
      <c r="R171" s="10">
        <f>SUM(R167:R170)</f>
        <v>0</v>
      </c>
      <c r="S171" s="10">
        <f>SUM(S167:S170)</f>
        <v>68940</v>
      </c>
    </row>
    <row r="172" spans="1:19" ht="12.75" customHeight="1">
      <c r="A172" s="3" t="s">
        <v>72</v>
      </c>
      <c r="B172" s="2" t="s">
        <v>73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 customHeight="1">
      <c r="A173" s="8"/>
      <c r="B173" s="27" t="s">
        <v>162</v>
      </c>
      <c r="C173" s="8">
        <v>2</v>
      </c>
      <c r="D173" s="8">
        <v>6</v>
      </c>
      <c r="E173" s="8">
        <v>1263</v>
      </c>
      <c r="F173" s="7">
        <f>E173*C173</f>
        <v>2526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4">
        <f>E173*C173+SUM(G173:O173)</f>
        <v>2526</v>
      </c>
      <c r="R173" s="7"/>
      <c r="S173" s="4">
        <f>Q173*$R$17</f>
        <v>30312</v>
      </c>
    </row>
    <row r="174" spans="1:19" ht="12.75" customHeight="1">
      <c r="A174" s="10"/>
      <c r="B174" s="26" t="s">
        <v>40</v>
      </c>
      <c r="C174" s="10">
        <f>SUM(C173:C173)</f>
        <v>2</v>
      </c>
      <c r="D174" s="10"/>
      <c r="E174" s="10"/>
      <c r="F174" s="10">
        <f>SUM(F173:F173)</f>
        <v>2526</v>
      </c>
      <c r="G174" s="10"/>
      <c r="H174" s="10"/>
      <c r="I174" s="11"/>
      <c r="J174" s="11"/>
      <c r="K174" s="11"/>
      <c r="L174" s="11"/>
      <c r="M174" s="11"/>
      <c r="N174" s="11"/>
      <c r="O174" s="11"/>
      <c r="P174" s="11"/>
      <c r="Q174" s="11">
        <f>SUM(Q173:Q173)</f>
        <v>2526</v>
      </c>
      <c r="R174" s="11">
        <f>SUM(R173:R173)</f>
        <v>0</v>
      </c>
      <c r="S174" s="11">
        <f>SUM(S173:S173)</f>
        <v>30312</v>
      </c>
    </row>
    <row r="175" spans="1:19" ht="12.75" customHeight="1">
      <c r="A175" s="3" t="s">
        <v>74</v>
      </c>
      <c r="B175" s="2" t="s">
        <v>75</v>
      </c>
      <c r="C175" s="3"/>
      <c r="D175" s="3"/>
      <c r="E175" s="3"/>
      <c r="F175" s="3"/>
      <c r="G175" s="3"/>
      <c r="H175" s="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2.75" customHeight="1">
      <c r="A176" s="7"/>
      <c r="B176" s="31" t="s">
        <v>37</v>
      </c>
      <c r="C176" s="7">
        <v>2</v>
      </c>
      <c r="D176" s="7">
        <v>6</v>
      </c>
      <c r="E176" s="7">
        <v>1263</v>
      </c>
      <c r="F176" s="7">
        <f>E176*C176</f>
        <v>2526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4">
        <f>E176*C176+SUM(G176:O176)</f>
        <v>2526</v>
      </c>
      <c r="R176" s="7"/>
      <c r="S176" s="4">
        <f>Q176*$R$17</f>
        <v>30312</v>
      </c>
    </row>
    <row r="177" spans="1:19" ht="12.75" customHeight="1">
      <c r="A177" s="10"/>
      <c r="B177" s="26" t="s">
        <v>40</v>
      </c>
      <c r="C177" s="10">
        <f>SUM(C176:C176)</f>
        <v>2</v>
      </c>
      <c r="D177" s="10"/>
      <c r="E177" s="10"/>
      <c r="F177" s="10">
        <f>SUM(F176:F176)</f>
        <v>2526</v>
      </c>
      <c r="G177" s="10"/>
      <c r="H177" s="10"/>
      <c r="I177" s="11"/>
      <c r="J177" s="11"/>
      <c r="K177" s="11"/>
      <c r="L177" s="11"/>
      <c r="M177" s="11"/>
      <c r="N177" s="11"/>
      <c r="O177" s="11"/>
      <c r="P177" s="11"/>
      <c r="Q177" s="11">
        <f>SUM(Q176:Q176)</f>
        <v>2526</v>
      </c>
      <c r="R177" s="11">
        <f>SUM(R176:R176)</f>
        <v>0</v>
      </c>
      <c r="S177" s="11">
        <f>SUM(S176:S176)</f>
        <v>30312</v>
      </c>
    </row>
    <row r="178" spans="1:19" ht="24.75" customHeight="1">
      <c r="A178" s="3" t="s">
        <v>76</v>
      </c>
      <c r="B178" s="2" t="s">
        <v>251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 customHeight="1">
      <c r="A179" s="7"/>
      <c r="B179" s="31" t="s">
        <v>541</v>
      </c>
      <c r="C179" s="7">
        <v>1</v>
      </c>
      <c r="D179" s="7">
        <v>11</v>
      </c>
      <c r="E179" s="7">
        <v>1678</v>
      </c>
      <c r="F179" s="7">
        <f>E179*C179</f>
        <v>1678</v>
      </c>
      <c r="G179" s="7"/>
      <c r="H179" s="7"/>
      <c r="I179" s="4"/>
      <c r="J179" s="7"/>
      <c r="K179" s="7"/>
      <c r="L179" s="7"/>
      <c r="M179" s="7"/>
      <c r="N179" s="7"/>
      <c r="O179" s="7"/>
      <c r="P179" s="4"/>
      <c r="Q179" s="4">
        <f>E179*C179+SUM(G179:O179)</f>
        <v>1678</v>
      </c>
      <c r="R179" s="7"/>
      <c r="S179" s="4">
        <f>Q179*$R$17</f>
        <v>20136</v>
      </c>
    </row>
    <row r="180" spans="1:19" ht="12.75" customHeight="1">
      <c r="A180" s="7"/>
      <c r="B180" s="31" t="s">
        <v>206</v>
      </c>
      <c r="C180" s="7">
        <v>1</v>
      </c>
      <c r="D180" s="7">
        <v>10</v>
      </c>
      <c r="E180" s="7">
        <v>1551</v>
      </c>
      <c r="F180" s="7">
        <f>E180*C180</f>
        <v>1551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4">
        <f>E180*C180+SUM(G180:O180)</f>
        <v>1551</v>
      </c>
      <c r="R180" s="7"/>
      <c r="S180" s="4">
        <f>Q180*$R$17</f>
        <v>18612</v>
      </c>
    </row>
    <row r="181" spans="1:19" ht="12.75" customHeight="1">
      <c r="A181" s="7"/>
      <c r="B181" s="31" t="s">
        <v>481</v>
      </c>
      <c r="C181" s="7">
        <v>1</v>
      </c>
      <c r="D181" s="7">
        <v>6</v>
      </c>
      <c r="E181" s="7">
        <v>1263</v>
      </c>
      <c r="F181" s="7">
        <f>E181*C181</f>
        <v>1263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4">
        <f>E181*C181+SUM(G181:O181)</f>
        <v>1263</v>
      </c>
      <c r="R181" s="7"/>
      <c r="S181" s="4">
        <f>Q181*$R$17</f>
        <v>15156</v>
      </c>
    </row>
    <row r="182" spans="1:19" ht="12.75" customHeight="1">
      <c r="A182" s="7"/>
      <c r="B182" s="27" t="s">
        <v>229</v>
      </c>
      <c r="C182" s="8">
        <v>2</v>
      </c>
      <c r="D182" s="8">
        <v>7</v>
      </c>
      <c r="E182" s="8">
        <v>1312</v>
      </c>
      <c r="F182" s="7">
        <f>E182*C182</f>
        <v>2624</v>
      </c>
      <c r="G182" s="8"/>
      <c r="H182" s="8"/>
      <c r="I182" s="8"/>
      <c r="J182" s="8"/>
      <c r="K182" s="8"/>
      <c r="L182" s="8"/>
      <c r="M182" s="8"/>
      <c r="N182" s="8"/>
      <c r="O182" s="8"/>
      <c r="P182" s="7"/>
      <c r="Q182" s="4">
        <f>E182*C182+SUM(G182:O182)</f>
        <v>2624</v>
      </c>
      <c r="R182" s="7"/>
      <c r="S182" s="4">
        <f>Q182*$R$17</f>
        <v>31488</v>
      </c>
    </row>
    <row r="183" spans="1:19" ht="12.75" customHeight="1">
      <c r="A183" s="10"/>
      <c r="B183" s="26" t="s">
        <v>40</v>
      </c>
      <c r="C183" s="10">
        <f>SUM(C179:C182)</f>
        <v>5</v>
      </c>
      <c r="D183" s="10"/>
      <c r="E183" s="10"/>
      <c r="F183" s="10">
        <f>SUM(F179:F182)</f>
        <v>7116</v>
      </c>
      <c r="G183" s="11"/>
      <c r="H183" s="11"/>
      <c r="I183" s="11"/>
      <c r="J183" s="22"/>
      <c r="K183" s="22"/>
      <c r="L183" s="22"/>
      <c r="M183" s="22"/>
      <c r="N183" s="22"/>
      <c r="O183" s="22"/>
      <c r="P183" s="11"/>
      <c r="Q183" s="11">
        <f>SUM(Q179:Q182)</f>
        <v>7116</v>
      </c>
      <c r="R183" s="11">
        <f>SUM(R179:R182)</f>
        <v>0</v>
      </c>
      <c r="S183" s="11">
        <f>SUM(S179:S182)</f>
        <v>85392</v>
      </c>
    </row>
    <row r="184" spans="1:19" ht="24.75" customHeight="1">
      <c r="A184" s="3" t="s">
        <v>78</v>
      </c>
      <c r="B184" s="2" t="s">
        <v>247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customHeight="1">
      <c r="A185" s="7"/>
      <c r="B185" s="31" t="s">
        <v>502</v>
      </c>
      <c r="C185" s="7">
        <v>1</v>
      </c>
      <c r="D185" s="7">
        <v>11</v>
      </c>
      <c r="E185" s="7">
        <v>1678</v>
      </c>
      <c r="F185" s="7">
        <f>E185*C185</f>
        <v>1678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4">
        <f>E185*C185+SUM(G185:O185)</f>
        <v>1678</v>
      </c>
      <c r="R185" s="7"/>
      <c r="S185" s="4">
        <f>Q185*$R$17</f>
        <v>20136</v>
      </c>
    </row>
    <row r="186" spans="1:19" ht="12.75" customHeight="1">
      <c r="A186" s="7"/>
      <c r="B186" s="31" t="s">
        <v>56</v>
      </c>
      <c r="C186" s="7">
        <v>1</v>
      </c>
      <c r="D186" s="7">
        <v>8</v>
      </c>
      <c r="E186" s="7">
        <v>1397</v>
      </c>
      <c r="F186" s="7">
        <f>E186*C186</f>
        <v>1397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4">
        <f>E186*C186+SUM(G186:O186)</f>
        <v>1397</v>
      </c>
      <c r="R186" s="7"/>
      <c r="S186" s="4">
        <f>Q186*$R$17</f>
        <v>16764</v>
      </c>
    </row>
    <row r="187" spans="1:19" ht="12.75" customHeight="1">
      <c r="A187" s="7"/>
      <c r="B187" s="31" t="s">
        <v>481</v>
      </c>
      <c r="C187" s="7">
        <v>3</v>
      </c>
      <c r="D187" s="7">
        <v>6</v>
      </c>
      <c r="E187" s="7">
        <v>1263</v>
      </c>
      <c r="F187" s="7">
        <f>E187*C187</f>
        <v>3789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4">
        <f>E187*C187+SUM(G187:O187)</f>
        <v>3789</v>
      </c>
      <c r="R187" s="7"/>
      <c r="S187" s="4">
        <f>Q187*$R$17</f>
        <v>45468</v>
      </c>
    </row>
    <row r="188" spans="1:19" ht="12.75" customHeight="1">
      <c r="A188" s="7"/>
      <c r="B188" s="31" t="s">
        <v>52</v>
      </c>
      <c r="C188" s="8">
        <v>1</v>
      </c>
      <c r="D188" s="8">
        <v>4</v>
      </c>
      <c r="E188" s="8">
        <v>1243</v>
      </c>
      <c r="F188" s="7">
        <f>E188*C188</f>
        <v>1243</v>
      </c>
      <c r="G188" s="8"/>
      <c r="H188" s="8"/>
      <c r="I188" s="8"/>
      <c r="J188" s="8"/>
      <c r="K188" s="8"/>
      <c r="L188" s="8"/>
      <c r="M188" s="8"/>
      <c r="N188" s="8"/>
      <c r="O188" s="8"/>
      <c r="P188" s="7"/>
      <c r="Q188" s="4">
        <f>E188*C188+SUM(G188:O188)</f>
        <v>1243</v>
      </c>
      <c r="R188" s="7"/>
      <c r="S188" s="4">
        <f>Q188*$R$17</f>
        <v>14916</v>
      </c>
    </row>
    <row r="189" spans="1:19" ht="12.75" customHeight="1">
      <c r="A189" s="10"/>
      <c r="B189" s="26" t="s">
        <v>40</v>
      </c>
      <c r="C189" s="10">
        <f>SUM(C185:C188)</f>
        <v>6</v>
      </c>
      <c r="D189" s="10"/>
      <c r="E189" s="10"/>
      <c r="F189" s="10">
        <f>SUM(F185:F188)</f>
        <v>8107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>
        <f>SUM(Q185:Q188)</f>
        <v>8107</v>
      </c>
      <c r="R189" s="10">
        <f>SUM(R185:R187)</f>
        <v>0</v>
      </c>
      <c r="S189" s="11">
        <f>SUM(S185:S188)</f>
        <v>97284</v>
      </c>
    </row>
    <row r="190" spans="1:19" ht="12.75" customHeight="1">
      <c r="A190" s="3" t="s">
        <v>79</v>
      </c>
      <c r="B190" s="2" t="s">
        <v>53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customHeight="1">
      <c r="A191" s="7"/>
      <c r="B191" s="31" t="s">
        <v>162</v>
      </c>
      <c r="C191" s="7">
        <v>1</v>
      </c>
      <c r="D191" s="7">
        <v>6</v>
      </c>
      <c r="E191" s="7">
        <v>1263</v>
      </c>
      <c r="F191" s="7">
        <f>E191*C191</f>
        <v>1263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4">
        <f>E191*C191+SUM(G191:O191)</f>
        <v>1263</v>
      </c>
      <c r="R191" s="7"/>
      <c r="S191" s="4">
        <f>Q191*$R$17</f>
        <v>15156</v>
      </c>
    </row>
    <row r="192" spans="1:19" ht="12.75" customHeight="1">
      <c r="A192" s="8"/>
      <c r="B192" s="27" t="s">
        <v>80</v>
      </c>
      <c r="C192" s="8">
        <v>2</v>
      </c>
      <c r="D192" s="8">
        <v>4</v>
      </c>
      <c r="E192" s="8">
        <v>1243</v>
      </c>
      <c r="F192" s="7">
        <f>E192*C192</f>
        <v>2486</v>
      </c>
      <c r="G192" s="8"/>
      <c r="H192" s="8"/>
      <c r="I192" s="8"/>
      <c r="J192" s="8"/>
      <c r="K192" s="8"/>
      <c r="L192" s="8"/>
      <c r="M192" s="8"/>
      <c r="N192" s="8"/>
      <c r="O192" s="8"/>
      <c r="P192" s="7"/>
      <c r="Q192" s="4">
        <f>E192*C192+SUM(G192:O192)</f>
        <v>2486</v>
      </c>
      <c r="R192" s="7"/>
      <c r="S192" s="4">
        <f>Q192*$R$17</f>
        <v>29832</v>
      </c>
    </row>
    <row r="193" spans="1:19" ht="12.75" customHeight="1">
      <c r="A193" s="10"/>
      <c r="B193" s="26" t="s">
        <v>40</v>
      </c>
      <c r="C193" s="10">
        <f>SUM(C191:C192)</f>
        <v>3</v>
      </c>
      <c r="D193" s="10"/>
      <c r="E193" s="10"/>
      <c r="F193" s="10">
        <f>SUM(F191:F192)</f>
        <v>3749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>
        <f>SUM(Q191:Q192)</f>
        <v>3749</v>
      </c>
      <c r="R193" s="10">
        <f>SUM(R191:R192)</f>
        <v>0</v>
      </c>
      <c r="S193" s="10">
        <f>SUM(S191:S192)</f>
        <v>44988</v>
      </c>
    </row>
    <row r="194" spans="1:19" ht="12.75" customHeight="1">
      <c r="A194" s="3" t="s">
        <v>81</v>
      </c>
      <c r="B194" s="2" t="s">
        <v>83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customHeight="1">
      <c r="A195" s="7"/>
      <c r="B195" s="31" t="s">
        <v>162</v>
      </c>
      <c r="C195" s="7">
        <v>4</v>
      </c>
      <c r="D195" s="7">
        <v>6</v>
      </c>
      <c r="E195" s="7">
        <v>1263</v>
      </c>
      <c r="F195" s="7">
        <f>E195*C195</f>
        <v>5052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4">
        <f>E195*C195+SUM(G195:O195)</f>
        <v>5052</v>
      </c>
      <c r="R195" s="7"/>
      <c r="S195" s="4">
        <f>Q195*$R$17</f>
        <v>60624</v>
      </c>
    </row>
    <row r="196" spans="1:19" ht="12.75" customHeight="1">
      <c r="A196" s="7"/>
      <c r="B196" s="31" t="s">
        <v>486</v>
      </c>
      <c r="C196" s="7">
        <v>1</v>
      </c>
      <c r="D196" s="7">
        <v>5</v>
      </c>
      <c r="E196" s="7">
        <v>1253</v>
      </c>
      <c r="F196" s="7">
        <f>E196*C196</f>
        <v>1253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4">
        <f>E196*C196+SUM(G196:O196)</f>
        <v>1253</v>
      </c>
      <c r="R196" s="7"/>
      <c r="S196" s="4">
        <f>Q196*$R$17</f>
        <v>15036</v>
      </c>
    </row>
    <row r="197" spans="1:19" ht="12.75" customHeight="1">
      <c r="A197" s="8"/>
      <c r="B197" s="27" t="s">
        <v>39</v>
      </c>
      <c r="C197" s="8">
        <v>0.5</v>
      </c>
      <c r="D197" s="8">
        <v>4</v>
      </c>
      <c r="E197" s="8">
        <v>1243</v>
      </c>
      <c r="F197" s="7">
        <f>E197*C197</f>
        <v>621.5</v>
      </c>
      <c r="G197" s="8"/>
      <c r="H197" s="8"/>
      <c r="I197" s="8"/>
      <c r="J197" s="8"/>
      <c r="K197" s="8"/>
      <c r="L197" s="8"/>
      <c r="M197" s="8"/>
      <c r="N197" s="8"/>
      <c r="O197" s="8"/>
      <c r="P197" s="7"/>
      <c r="Q197" s="4">
        <f>E197*C197+SUM(G197:O197)</f>
        <v>621.5</v>
      </c>
      <c r="R197" s="7"/>
      <c r="S197" s="4">
        <f>Q197*$R$17</f>
        <v>7458</v>
      </c>
    </row>
    <row r="198" spans="1:19" ht="12.75" customHeight="1">
      <c r="A198" s="10"/>
      <c r="B198" s="26" t="s">
        <v>40</v>
      </c>
      <c r="C198" s="10">
        <f>SUM(C195:C197)</f>
        <v>5.5</v>
      </c>
      <c r="D198" s="10"/>
      <c r="E198" s="10"/>
      <c r="F198" s="10">
        <f>SUM(F195:F197)</f>
        <v>6926.5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>
        <f>SUM(Q195:Q197)</f>
        <v>6926.5</v>
      </c>
      <c r="R198" s="10">
        <f>SUM(R195:R197)</f>
        <v>0</v>
      </c>
      <c r="S198" s="10">
        <f>SUM(S195:S197)</f>
        <v>83118</v>
      </c>
    </row>
    <row r="199" spans="1:19" ht="24.75" customHeight="1">
      <c r="A199" s="3" t="s">
        <v>82</v>
      </c>
      <c r="B199" s="49" t="s">
        <v>341</v>
      </c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>
      <c r="A200" s="7"/>
      <c r="B200" s="31" t="s">
        <v>502</v>
      </c>
      <c r="C200" s="7">
        <v>1</v>
      </c>
      <c r="D200" s="7">
        <v>11</v>
      </c>
      <c r="E200" s="7">
        <v>1678</v>
      </c>
      <c r="F200" s="7">
        <f>E200*C200</f>
        <v>1678</v>
      </c>
      <c r="G200" s="7"/>
      <c r="H200" s="7"/>
      <c r="I200" s="4"/>
      <c r="J200" s="7"/>
      <c r="K200" s="7"/>
      <c r="L200" s="7"/>
      <c r="M200" s="7"/>
      <c r="N200" s="7"/>
      <c r="O200" s="7"/>
      <c r="P200" s="4"/>
      <c r="Q200" s="4">
        <f>E200*C200+SUM(G200:O200)</f>
        <v>1678</v>
      </c>
      <c r="R200" s="7"/>
      <c r="S200" s="4">
        <f>Q200*$R$17</f>
        <v>20136</v>
      </c>
    </row>
    <row r="201" spans="1:19" ht="12.75" customHeight="1">
      <c r="A201" s="7"/>
      <c r="B201" s="31" t="s">
        <v>61</v>
      </c>
      <c r="C201" s="7">
        <v>2</v>
      </c>
      <c r="D201" s="7">
        <v>7</v>
      </c>
      <c r="E201" s="7">
        <v>1312</v>
      </c>
      <c r="F201" s="7">
        <f>E201*C201</f>
        <v>2624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4">
        <f>E201*C201+SUM(G201:O201)</f>
        <v>2624</v>
      </c>
      <c r="R201" s="7"/>
      <c r="S201" s="4">
        <f>Q201*$R$17</f>
        <v>31488</v>
      </c>
    </row>
    <row r="202" spans="1:19" ht="12.75" customHeight="1">
      <c r="A202" s="8"/>
      <c r="B202" s="27" t="s">
        <v>256</v>
      </c>
      <c r="C202" s="8">
        <v>1</v>
      </c>
      <c r="D202" s="8">
        <v>5</v>
      </c>
      <c r="E202" s="8">
        <v>1253</v>
      </c>
      <c r="F202" s="8">
        <f>E202*C202</f>
        <v>1253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9">
        <f>E202*C202+SUM(G202:O202)</f>
        <v>1253</v>
      </c>
      <c r="R202" s="8"/>
      <c r="S202" s="9">
        <f>Q202*$R$17</f>
        <v>15036</v>
      </c>
    </row>
    <row r="203" spans="1:19" ht="12.75" customHeight="1">
      <c r="A203" s="10"/>
      <c r="B203" s="26" t="s">
        <v>40</v>
      </c>
      <c r="C203" s="10">
        <f>SUM(C200:C202)</f>
        <v>4</v>
      </c>
      <c r="D203" s="10"/>
      <c r="E203" s="10"/>
      <c r="F203" s="10">
        <f>SUM(F200:F202)</f>
        <v>5555</v>
      </c>
      <c r="G203" s="10"/>
      <c r="H203" s="10"/>
      <c r="I203" s="11"/>
      <c r="J203" s="11"/>
      <c r="K203" s="11"/>
      <c r="L203" s="11"/>
      <c r="M203" s="11"/>
      <c r="N203" s="11"/>
      <c r="O203" s="11"/>
      <c r="P203" s="11"/>
      <c r="Q203" s="11">
        <f>SUM(Q200:Q202)</f>
        <v>5555</v>
      </c>
      <c r="R203" s="11">
        <f>SUM(R200:R202)</f>
        <v>0</v>
      </c>
      <c r="S203" s="11">
        <f>SUM(S200:S202)</f>
        <v>66660</v>
      </c>
    </row>
    <row r="204" spans="1:19" ht="12.75" customHeight="1">
      <c r="A204" s="3" t="s">
        <v>84</v>
      </c>
      <c r="B204" s="2" t="s">
        <v>86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customHeight="1">
      <c r="A205" s="7"/>
      <c r="B205" s="31" t="s">
        <v>502</v>
      </c>
      <c r="C205" s="7">
        <v>1</v>
      </c>
      <c r="D205" s="7">
        <v>11</v>
      </c>
      <c r="E205" s="7">
        <v>1678</v>
      </c>
      <c r="F205" s="7">
        <f>E205*C205</f>
        <v>1678</v>
      </c>
      <c r="G205" s="7"/>
      <c r="H205" s="7"/>
      <c r="I205" s="4"/>
      <c r="J205" s="7"/>
      <c r="K205" s="7"/>
      <c r="L205" s="7"/>
      <c r="M205" s="7"/>
      <c r="N205" s="7"/>
      <c r="O205" s="7"/>
      <c r="P205" s="4"/>
      <c r="Q205" s="4">
        <f>E205*C205+SUM(G205:O205)</f>
        <v>1678</v>
      </c>
      <c r="R205" s="7"/>
      <c r="S205" s="4">
        <f>Q205*$R$17</f>
        <v>20136</v>
      </c>
    </row>
    <row r="206" spans="1:19" ht="12.75" customHeight="1">
      <c r="A206" s="7"/>
      <c r="B206" s="31" t="s">
        <v>51</v>
      </c>
      <c r="C206" s="7">
        <v>1</v>
      </c>
      <c r="D206" s="7">
        <v>7</v>
      </c>
      <c r="E206" s="7">
        <v>1312</v>
      </c>
      <c r="F206" s="7">
        <f>E206*C206</f>
        <v>1312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">
        <f>E206*C206+SUM(G206:O206)</f>
        <v>1312</v>
      </c>
      <c r="R206" s="7"/>
      <c r="S206" s="4">
        <f>Q206*$R$17</f>
        <v>15744</v>
      </c>
    </row>
    <row r="207" spans="1:19" ht="12.75" customHeight="1">
      <c r="A207" s="7"/>
      <c r="B207" s="31" t="s">
        <v>481</v>
      </c>
      <c r="C207" s="7">
        <v>0.5</v>
      </c>
      <c r="D207" s="7">
        <v>6</v>
      </c>
      <c r="E207" s="7">
        <v>1263</v>
      </c>
      <c r="F207" s="7">
        <f>E207*C207</f>
        <v>631.5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4">
        <f>E207*C207+SUM(G207:O207)</f>
        <v>631.5</v>
      </c>
      <c r="R207" s="7"/>
      <c r="S207" s="4">
        <f>Q207*$R$17</f>
        <v>7578</v>
      </c>
    </row>
    <row r="208" spans="1:19" ht="12.75" customHeight="1">
      <c r="A208" s="8"/>
      <c r="B208" s="27" t="s">
        <v>52</v>
      </c>
      <c r="C208" s="8">
        <v>0.5</v>
      </c>
      <c r="D208" s="8">
        <v>4</v>
      </c>
      <c r="E208" s="8">
        <v>1243</v>
      </c>
      <c r="F208" s="44">
        <f>E208*C208</f>
        <v>621.5</v>
      </c>
      <c r="G208" s="8"/>
      <c r="H208" s="8"/>
      <c r="I208" s="8"/>
      <c r="J208" s="8"/>
      <c r="K208" s="8"/>
      <c r="L208" s="8"/>
      <c r="M208" s="8"/>
      <c r="N208" s="8"/>
      <c r="O208" s="8"/>
      <c r="P208" s="7"/>
      <c r="Q208" s="4">
        <f>E208*C208+SUM(G208:O208)</f>
        <v>621.5</v>
      </c>
      <c r="R208" s="7"/>
      <c r="S208" s="4">
        <f>Q208*$R$17</f>
        <v>7458</v>
      </c>
    </row>
    <row r="209" spans="1:19" ht="12.75" customHeight="1">
      <c r="A209" s="10"/>
      <c r="B209" s="26" t="s">
        <v>40</v>
      </c>
      <c r="C209" s="10">
        <f>SUM(C205:C208)</f>
        <v>3</v>
      </c>
      <c r="D209" s="10"/>
      <c r="E209" s="10"/>
      <c r="F209" s="10">
        <f>SUM(F205:F208)</f>
        <v>4243</v>
      </c>
      <c r="G209" s="10"/>
      <c r="H209" s="10"/>
      <c r="I209" s="11"/>
      <c r="J209" s="11"/>
      <c r="K209" s="11"/>
      <c r="L209" s="11"/>
      <c r="M209" s="11"/>
      <c r="N209" s="11"/>
      <c r="O209" s="11"/>
      <c r="P209" s="11"/>
      <c r="Q209" s="11">
        <f>SUM(Q205:Q208)</f>
        <v>4243</v>
      </c>
      <c r="R209" s="11">
        <f>SUM(R205:R208)</f>
        <v>0</v>
      </c>
      <c r="S209" s="11">
        <f>SUM(S205:S208)</f>
        <v>50916</v>
      </c>
    </row>
    <row r="210" spans="1:19" ht="12.75" customHeight="1">
      <c r="A210" s="3" t="s">
        <v>85</v>
      </c>
      <c r="B210" s="2" t="s">
        <v>387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4"/>
    </row>
    <row r="211" spans="1:19" ht="12.75" customHeight="1">
      <c r="A211" s="7"/>
      <c r="B211" s="31" t="s">
        <v>502</v>
      </c>
      <c r="C211" s="7">
        <v>1</v>
      </c>
      <c r="D211" s="7">
        <v>11</v>
      </c>
      <c r="E211" s="7">
        <v>1678</v>
      </c>
      <c r="F211" s="7">
        <f>E211*C211</f>
        <v>1678</v>
      </c>
      <c r="G211" s="7"/>
      <c r="H211" s="7"/>
      <c r="I211" s="4"/>
      <c r="J211" s="7"/>
      <c r="K211" s="7"/>
      <c r="L211" s="7"/>
      <c r="M211" s="7"/>
      <c r="N211" s="7"/>
      <c r="O211" s="7"/>
      <c r="P211" s="4"/>
      <c r="Q211" s="4">
        <f>E211*C211+SUM(G211:O211)</f>
        <v>1678</v>
      </c>
      <c r="R211" s="7"/>
      <c r="S211" s="4">
        <f>Q211*$R$17</f>
        <v>20136</v>
      </c>
    </row>
    <row r="212" spans="1:19" ht="12.75" customHeight="1">
      <c r="A212" s="7"/>
      <c r="B212" s="31" t="s">
        <v>192</v>
      </c>
      <c r="C212" s="7">
        <v>1</v>
      </c>
      <c r="D212" s="7">
        <v>6</v>
      </c>
      <c r="E212" s="7">
        <v>1263</v>
      </c>
      <c r="F212" s="7">
        <f>E212*C212</f>
        <v>1263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4">
        <f>E212*C212+SUM(G212:O212)</f>
        <v>1263</v>
      </c>
      <c r="R212" s="7"/>
      <c r="S212" s="4">
        <f>Q212*$R$17</f>
        <v>15156</v>
      </c>
    </row>
    <row r="213" spans="1:19" ht="12.75" customHeight="1">
      <c r="A213" s="8"/>
      <c r="B213" s="27" t="s">
        <v>39</v>
      </c>
      <c r="C213" s="8">
        <v>1</v>
      </c>
      <c r="D213" s="8">
        <v>4</v>
      </c>
      <c r="E213" s="8">
        <v>1243</v>
      </c>
      <c r="F213" s="7">
        <f>E213*C213</f>
        <v>1243</v>
      </c>
      <c r="G213" s="8"/>
      <c r="H213" s="8"/>
      <c r="I213" s="8"/>
      <c r="J213" s="8"/>
      <c r="K213" s="8"/>
      <c r="L213" s="8"/>
      <c r="M213" s="8"/>
      <c r="N213" s="8"/>
      <c r="O213" s="8"/>
      <c r="P213" s="7"/>
      <c r="Q213" s="4">
        <f>E213*C213+SUM(G213:O213)</f>
        <v>1243</v>
      </c>
      <c r="R213" s="7"/>
      <c r="S213" s="4">
        <f>Q213*$R$17</f>
        <v>14916</v>
      </c>
    </row>
    <row r="214" spans="1:19" ht="12.75" customHeight="1">
      <c r="A214" s="10"/>
      <c r="B214" s="26" t="s">
        <v>40</v>
      </c>
      <c r="C214" s="10">
        <f>SUM(C211:C213)</f>
        <v>3</v>
      </c>
      <c r="D214" s="10"/>
      <c r="E214" s="10"/>
      <c r="F214" s="10">
        <f>SUM(F211:F213)</f>
        <v>4184</v>
      </c>
      <c r="G214" s="10"/>
      <c r="H214" s="10"/>
      <c r="I214" s="11"/>
      <c r="J214" s="10"/>
      <c r="K214" s="10"/>
      <c r="L214" s="10"/>
      <c r="M214" s="10"/>
      <c r="N214" s="10"/>
      <c r="O214" s="10"/>
      <c r="P214" s="11"/>
      <c r="Q214" s="11">
        <f>SUM(Q211:Q213)</f>
        <v>4184</v>
      </c>
      <c r="R214" s="11">
        <f>SUM(R211:R213)</f>
        <v>0</v>
      </c>
      <c r="S214" s="11">
        <f>SUM(S211:S213)</f>
        <v>50208</v>
      </c>
    </row>
    <row r="215" spans="1:19" ht="12.75" customHeight="1">
      <c r="A215" s="3" t="s">
        <v>87</v>
      </c>
      <c r="B215" s="2" t="s">
        <v>89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2.75" customHeight="1">
      <c r="A216" s="7"/>
      <c r="B216" s="31" t="s">
        <v>502</v>
      </c>
      <c r="C216" s="7">
        <v>1</v>
      </c>
      <c r="D216" s="7">
        <v>11</v>
      </c>
      <c r="E216" s="7">
        <v>1678</v>
      </c>
      <c r="F216" s="7">
        <f>E216*C216</f>
        <v>1678</v>
      </c>
      <c r="G216" s="7"/>
      <c r="H216" s="7"/>
      <c r="I216" s="4"/>
      <c r="J216" s="7"/>
      <c r="K216" s="7"/>
      <c r="L216" s="7"/>
      <c r="M216" s="7"/>
      <c r="N216" s="7"/>
      <c r="O216" s="4">
        <f>E216*C216*0.12</f>
        <v>201.35999999999999</v>
      </c>
      <c r="P216" s="4">
        <f>SUM(G216:O216)</f>
        <v>201.35999999999999</v>
      </c>
      <c r="Q216" s="4">
        <f>E216*C216+SUM(G216:O216)</f>
        <v>1879.36</v>
      </c>
      <c r="R216" s="4"/>
      <c r="S216" s="4">
        <f>Q216*$R$17</f>
        <v>22552.32</v>
      </c>
    </row>
    <row r="217" spans="1:19" ht="12.75" customHeight="1">
      <c r="A217" s="7"/>
      <c r="B217" s="31" t="s">
        <v>41</v>
      </c>
      <c r="C217" s="7">
        <v>5</v>
      </c>
      <c r="D217" s="7">
        <v>6</v>
      </c>
      <c r="E217" s="7">
        <v>1263</v>
      </c>
      <c r="F217" s="7">
        <f>E217*C217</f>
        <v>6315</v>
      </c>
      <c r="G217" s="7"/>
      <c r="H217" s="7"/>
      <c r="I217" s="7"/>
      <c r="J217" s="7"/>
      <c r="K217" s="7"/>
      <c r="L217" s="7"/>
      <c r="M217" s="7"/>
      <c r="N217" s="7"/>
      <c r="O217" s="4">
        <f>E217*C217*0.12</f>
        <v>757.8</v>
      </c>
      <c r="P217" s="4">
        <f>SUM(G217:O217)</f>
        <v>757.8</v>
      </c>
      <c r="Q217" s="4">
        <f>E217*C217+SUM(G217:O217)</f>
        <v>7072.8</v>
      </c>
      <c r="R217" s="4"/>
      <c r="S217" s="4">
        <f>Q217*$R$17</f>
        <v>84873.6</v>
      </c>
    </row>
    <row r="218" spans="1:19" ht="12.75" customHeight="1">
      <c r="A218" s="10"/>
      <c r="B218" s="26" t="s">
        <v>40</v>
      </c>
      <c r="C218" s="10">
        <f>SUM(C216:C217)</f>
        <v>6</v>
      </c>
      <c r="D218" s="10"/>
      <c r="E218" s="10"/>
      <c r="F218" s="10">
        <f>SUM(F216:F217)</f>
        <v>7993</v>
      </c>
      <c r="G218" s="11"/>
      <c r="H218" s="11"/>
      <c r="I218" s="11"/>
      <c r="J218" s="10"/>
      <c r="K218" s="10"/>
      <c r="L218" s="10"/>
      <c r="M218" s="10"/>
      <c r="N218" s="10"/>
      <c r="O218" s="11">
        <f>SUM(O216:O217)</f>
        <v>959.16</v>
      </c>
      <c r="P218" s="11">
        <f>SUM(P216:P217)</f>
        <v>959.16</v>
      </c>
      <c r="Q218" s="11">
        <f>SUM(Q216:Q217)</f>
        <v>8952.16</v>
      </c>
      <c r="R218" s="11">
        <f>SUM(R216:R217)</f>
        <v>0</v>
      </c>
      <c r="S218" s="11">
        <f>SUM(S216:S217)</f>
        <v>107425.92000000001</v>
      </c>
    </row>
    <row r="219" spans="1:19" ht="24.75" customHeight="1">
      <c r="A219" s="3" t="s">
        <v>88</v>
      </c>
      <c r="B219" s="2" t="s">
        <v>228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" customHeight="1">
      <c r="A220" s="8"/>
      <c r="B220" s="27" t="s">
        <v>162</v>
      </c>
      <c r="C220" s="8">
        <v>2</v>
      </c>
      <c r="D220" s="8">
        <v>6</v>
      </c>
      <c r="E220" s="8">
        <v>1263</v>
      </c>
      <c r="F220" s="7">
        <f>E220*C220</f>
        <v>2526</v>
      </c>
      <c r="G220" s="8"/>
      <c r="H220" s="8"/>
      <c r="I220" s="8"/>
      <c r="J220" s="8"/>
      <c r="K220" s="8"/>
      <c r="L220" s="8"/>
      <c r="M220" s="8"/>
      <c r="N220" s="8"/>
      <c r="O220" s="8"/>
      <c r="P220" s="7"/>
      <c r="Q220" s="4">
        <f>E220*C220+SUM(G220:O220)</f>
        <v>2526</v>
      </c>
      <c r="R220" s="7"/>
      <c r="S220" s="4">
        <f>Q220*$R$17</f>
        <v>30312</v>
      </c>
    </row>
    <row r="221" spans="1:19" ht="12" customHeight="1">
      <c r="A221" s="10"/>
      <c r="B221" s="26" t="s">
        <v>40</v>
      </c>
      <c r="C221" s="10">
        <f>SUM(C220)</f>
        <v>2</v>
      </c>
      <c r="D221" s="10"/>
      <c r="E221" s="10"/>
      <c r="F221" s="10">
        <f>SUM(F220)</f>
        <v>2526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>
        <f>SUM(Q220)</f>
        <v>2526</v>
      </c>
      <c r="R221" s="10">
        <f>SUM(R220)</f>
        <v>0</v>
      </c>
      <c r="S221" s="10">
        <f>SUM(S220)</f>
        <v>30312</v>
      </c>
    </row>
    <row r="222" spans="1:19" ht="23.25" customHeight="1">
      <c r="A222" s="3" t="s">
        <v>90</v>
      </c>
      <c r="B222" s="2" t="s">
        <v>156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" customHeight="1">
      <c r="A223" s="7"/>
      <c r="B223" s="31" t="s">
        <v>502</v>
      </c>
      <c r="C223" s="7">
        <v>1</v>
      </c>
      <c r="D223" s="7">
        <v>11</v>
      </c>
      <c r="E223" s="7">
        <v>1678</v>
      </c>
      <c r="F223" s="7">
        <f>E223*C223</f>
        <v>1678</v>
      </c>
      <c r="G223" s="7"/>
      <c r="H223" s="7"/>
      <c r="I223" s="4"/>
      <c r="J223" s="7"/>
      <c r="K223" s="7"/>
      <c r="L223" s="7"/>
      <c r="M223" s="7"/>
      <c r="N223" s="7"/>
      <c r="O223" s="7"/>
      <c r="P223" s="4"/>
      <c r="Q223" s="4">
        <f>E223*C223+SUM(G223:O223)</f>
        <v>1678</v>
      </c>
      <c r="R223" s="7"/>
      <c r="S223" s="4">
        <f>Q223*$R$17</f>
        <v>20136</v>
      </c>
    </row>
    <row r="224" spans="1:19" ht="12" customHeight="1">
      <c r="A224" s="7"/>
      <c r="B224" s="31" t="s">
        <v>61</v>
      </c>
      <c r="C224" s="7">
        <v>1</v>
      </c>
      <c r="D224" s="7">
        <v>7</v>
      </c>
      <c r="E224" s="7">
        <v>1312</v>
      </c>
      <c r="F224" s="7">
        <f>E224*C224</f>
        <v>1312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4">
        <f>E224*C224+SUM(G224:O224)</f>
        <v>1312</v>
      </c>
      <c r="R224" s="7"/>
      <c r="S224" s="4">
        <f>Q224*$R$17</f>
        <v>15744</v>
      </c>
    </row>
    <row r="225" spans="1:19" ht="12" customHeight="1">
      <c r="A225" s="8"/>
      <c r="B225" s="27" t="s">
        <v>39</v>
      </c>
      <c r="C225" s="7">
        <v>1</v>
      </c>
      <c r="D225" s="7">
        <v>4</v>
      </c>
      <c r="E225" s="8">
        <v>1243</v>
      </c>
      <c r="F225" s="7">
        <f>E225*C225</f>
        <v>1243</v>
      </c>
      <c r="G225" s="8"/>
      <c r="H225" s="8"/>
      <c r="I225" s="8"/>
      <c r="J225" s="8"/>
      <c r="K225" s="8"/>
      <c r="L225" s="8"/>
      <c r="M225" s="8"/>
      <c r="N225" s="8"/>
      <c r="O225" s="8"/>
      <c r="P225" s="7"/>
      <c r="Q225" s="4">
        <f>E225*C225+SUM(G225:O225)</f>
        <v>1243</v>
      </c>
      <c r="R225" s="7"/>
      <c r="S225" s="4">
        <f>Q225*$R$17</f>
        <v>14916</v>
      </c>
    </row>
    <row r="226" spans="1:19" ht="12" customHeight="1">
      <c r="A226" s="10"/>
      <c r="B226" s="26" t="s">
        <v>40</v>
      </c>
      <c r="C226" s="10">
        <f>SUM(C223:C225)</f>
        <v>3</v>
      </c>
      <c r="D226" s="10"/>
      <c r="E226" s="10"/>
      <c r="F226" s="10">
        <f>SUM(F223:F225)</f>
        <v>4233</v>
      </c>
      <c r="G226" s="10"/>
      <c r="H226" s="10"/>
      <c r="I226" s="11"/>
      <c r="J226" s="11"/>
      <c r="K226" s="11"/>
      <c r="L226" s="11"/>
      <c r="M226" s="11"/>
      <c r="N226" s="11"/>
      <c r="O226" s="11"/>
      <c r="P226" s="11"/>
      <c r="Q226" s="11">
        <f>SUM(Q223:Q225)</f>
        <v>4233</v>
      </c>
      <c r="R226" s="11">
        <f>SUM(R223:R225)</f>
        <v>0</v>
      </c>
      <c r="S226" s="11">
        <f>SUM(S223:S225)</f>
        <v>50796</v>
      </c>
    </row>
    <row r="227" spans="1:19" ht="36.75" customHeight="1">
      <c r="A227" s="3" t="s">
        <v>92</v>
      </c>
      <c r="B227" s="2" t="s">
        <v>495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" customHeight="1">
      <c r="A228" s="7"/>
      <c r="B228" s="31" t="s">
        <v>502</v>
      </c>
      <c r="C228" s="7">
        <v>1</v>
      </c>
      <c r="D228" s="7">
        <v>11</v>
      </c>
      <c r="E228" s="7">
        <v>1678</v>
      </c>
      <c r="F228" s="7">
        <f>E228*C228</f>
        <v>1678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4">
        <f>E228*C228+SUM(G228:O228)</f>
        <v>1678</v>
      </c>
      <c r="R228" s="7"/>
      <c r="S228" s="4">
        <f>Q228*$R$17</f>
        <v>20136</v>
      </c>
    </row>
    <row r="229" spans="1:19" ht="12" customHeight="1">
      <c r="A229" s="7"/>
      <c r="B229" s="31" t="s">
        <v>192</v>
      </c>
      <c r="C229" s="7">
        <v>1</v>
      </c>
      <c r="D229" s="7">
        <v>6</v>
      </c>
      <c r="E229" s="7">
        <v>1263</v>
      </c>
      <c r="F229" s="7">
        <f>E229*C229</f>
        <v>1263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4">
        <f>E229*C229+SUM(G229:O229)</f>
        <v>1263</v>
      </c>
      <c r="R229" s="7"/>
      <c r="S229" s="4">
        <f>Q229*$R$17</f>
        <v>15156</v>
      </c>
    </row>
    <row r="230" spans="1:19" ht="12" customHeight="1">
      <c r="A230" s="7"/>
      <c r="B230" s="27" t="s">
        <v>39</v>
      </c>
      <c r="C230" s="8">
        <v>1</v>
      </c>
      <c r="D230" s="8">
        <v>4</v>
      </c>
      <c r="E230" s="8">
        <v>1243</v>
      </c>
      <c r="F230" s="8">
        <f>E230*C230</f>
        <v>1243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9">
        <f>E230*C230+SUM(G230:O230)</f>
        <v>1243</v>
      </c>
      <c r="R230" s="8"/>
      <c r="S230" s="9">
        <f>Q230*$R$17</f>
        <v>14916</v>
      </c>
    </row>
    <row r="231" spans="1:19" ht="12" customHeight="1">
      <c r="A231" s="10"/>
      <c r="B231" s="26" t="s">
        <v>40</v>
      </c>
      <c r="C231" s="10">
        <f>SUM(C228:C230)</f>
        <v>3</v>
      </c>
      <c r="D231" s="10"/>
      <c r="E231" s="10"/>
      <c r="F231" s="10">
        <f>SUM(F228:F230)</f>
        <v>4184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>
        <f>SUM(Q228:Q230)</f>
        <v>4184</v>
      </c>
      <c r="R231" s="10">
        <f>SUM(R228:R230)</f>
        <v>0</v>
      </c>
      <c r="S231" s="10">
        <f>SUM(S228:S230)</f>
        <v>50208</v>
      </c>
    </row>
    <row r="232" spans="1:19" ht="22.5" customHeight="1">
      <c r="A232" s="3" t="s">
        <v>93</v>
      </c>
      <c r="B232" s="2" t="s">
        <v>343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customHeight="1">
      <c r="A233" s="7"/>
      <c r="B233" s="31" t="s">
        <v>162</v>
      </c>
      <c r="C233" s="7">
        <v>1</v>
      </c>
      <c r="D233" s="7">
        <v>6</v>
      </c>
      <c r="E233" s="7">
        <v>1263</v>
      </c>
      <c r="F233" s="7">
        <f>E233*C233</f>
        <v>1263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4">
        <f>E233*C233+SUM(G233:O233)</f>
        <v>1263</v>
      </c>
      <c r="R233" s="7"/>
      <c r="S233" s="4">
        <f>Q233*$R$17</f>
        <v>15156</v>
      </c>
    </row>
    <row r="234" spans="1:19" ht="12.75" customHeight="1">
      <c r="A234" s="8"/>
      <c r="B234" s="27" t="s">
        <v>80</v>
      </c>
      <c r="C234" s="8">
        <v>1</v>
      </c>
      <c r="D234" s="8">
        <v>4</v>
      </c>
      <c r="E234" s="8">
        <v>1243</v>
      </c>
      <c r="F234" s="8">
        <f>E234*C234</f>
        <v>1243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9">
        <f>E234*C234+SUM(G234:O234)</f>
        <v>1243</v>
      </c>
      <c r="R234" s="8"/>
      <c r="S234" s="9">
        <f>Q234*$R$17</f>
        <v>14916</v>
      </c>
    </row>
    <row r="235" spans="1:19" ht="10.5" customHeight="1">
      <c r="A235" s="3"/>
      <c r="B235" s="26" t="s">
        <v>40</v>
      </c>
      <c r="C235" s="10">
        <f>SUM(C233:C234)</f>
        <v>2</v>
      </c>
      <c r="D235" s="10"/>
      <c r="E235" s="10"/>
      <c r="F235" s="10">
        <f>SUM(F233:F234)</f>
        <v>2506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1">
        <f>SUM(Q233:Q234)</f>
        <v>2506</v>
      </c>
      <c r="R235" s="11">
        <f>SUM(R233:R233)</f>
        <v>0</v>
      </c>
      <c r="S235" s="11">
        <f>SUM(S233:S234)</f>
        <v>30072</v>
      </c>
    </row>
    <row r="236" spans="1:19" ht="23.25" customHeight="1">
      <c r="A236" s="3" t="s">
        <v>94</v>
      </c>
      <c r="B236" s="2" t="s">
        <v>205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" customHeight="1">
      <c r="A237" s="8"/>
      <c r="B237" s="27" t="s">
        <v>44</v>
      </c>
      <c r="C237" s="7">
        <v>2</v>
      </c>
      <c r="D237" s="7">
        <v>7</v>
      </c>
      <c r="E237" s="7">
        <v>1312</v>
      </c>
      <c r="F237" s="7">
        <f>E237*C237</f>
        <v>2624</v>
      </c>
      <c r="G237" s="8"/>
      <c r="H237" s="8"/>
      <c r="I237" s="8"/>
      <c r="J237" s="8"/>
      <c r="K237" s="8"/>
      <c r="L237" s="8"/>
      <c r="M237" s="8"/>
      <c r="N237" s="8"/>
      <c r="O237" s="8"/>
      <c r="P237" s="7"/>
      <c r="Q237" s="4">
        <f>E237*C237+SUM(G237:O237)</f>
        <v>2624</v>
      </c>
      <c r="R237" s="7"/>
      <c r="S237" s="4">
        <f>Q237*$R$17</f>
        <v>31488</v>
      </c>
    </row>
    <row r="238" spans="1:19" ht="12" customHeight="1">
      <c r="A238" s="10"/>
      <c r="B238" s="26" t="s">
        <v>40</v>
      </c>
      <c r="C238" s="10">
        <f>SUM(C237:C237)</f>
        <v>2</v>
      </c>
      <c r="D238" s="10"/>
      <c r="E238" s="10"/>
      <c r="F238" s="10">
        <f>SUM(F237:F237)</f>
        <v>2624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>
        <f>SUM(Q237:Q237)</f>
        <v>2624</v>
      </c>
      <c r="R238" s="11">
        <f>SUM(R237:R237)</f>
        <v>0</v>
      </c>
      <c r="S238" s="11">
        <f>SUM(S237:S237)</f>
        <v>31488</v>
      </c>
    </row>
    <row r="239" spans="1:19" ht="12.75" customHeight="1">
      <c r="A239" s="3" t="s">
        <v>98</v>
      </c>
      <c r="B239" s="2" t="s">
        <v>42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>
      <c r="A240" s="7"/>
      <c r="B240" s="31" t="s">
        <v>162</v>
      </c>
      <c r="C240" s="7">
        <v>1</v>
      </c>
      <c r="D240" s="7">
        <v>6</v>
      </c>
      <c r="E240" s="7">
        <v>1263</v>
      </c>
      <c r="F240" s="7">
        <f>E240*C240</f>
        <v>1263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4">
        <f>E240*C240+SUM(G240:O240)</f>
        <v>1263</v>
      </c>
      <c r="R240" s="7"/>
      <c r="S240" s="4">
        <f>Q240*$R$17</f>
        <v>15156</v>
      </c>
    </row>
    <row r="241" spans="1:19" ht="12.75" customHeight="1">
      <c r="A241" s="7"/>
      <c r="B241" s="27" t="s">
        <v>486</v>
      </c>
      <c r="C241" s="8">
        <v>1</v>
      </c>
      <c r="D241" s="8">
        <v>5</v>
      </c>
      <c r="E241" s="8">
        <v>1253</v>
      </c>
      <c r="F241" s="7">
        <f>E241*C241</f>
        <v>1253</v>
      </c>
      <c r="G241" s="8"/>
      <c r="H241" s="8"/>
      <c r="I241" s="8"/>
      <c r="J241" s="8"/>
      <c r="K241" s="8"/>
      <c r="L241" s="8"/>
      <c r="M241" s="8"/>
      <c r="N241" s="8"/>
      <c r="O241" s="8"/>
      <c r="P241" s="7"/>
      <c r="Q241" s="4">
        <f>E241*C241+SUM(G241:O241)</f>
        <v>1253</v>
      </c>
      <c r="R241" s="7"/>
      <c r="S241" s="4">
        <f>Q241*$R$17</f>
        <v>15036</v>
      </c>
    </row>
    <row r="242" spans="1:19" ht="12.75" customHeight="1">
      <c r="A242" s="10"/>
      <c r="B242" s="26" t="s">
        <v>40</v>
      </c>
      <c r="C242" s="10">
        <f>SUM(C240:C241)</f>
        <v>2</v>
      </c>
      <c r="D242" s="10"/>
      <c r="E242" s="10"/>
      <c r="F242" s="10">
        <f>SUM(F240:F241)</f>
        <v>2516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>
        <f>SUM(Q240:Q241)</f>
        <v>2516</v>
      </c>
      <c r="R242" s="10"/>
      <c r="S242" s="10">
        <f>SUM(S240:S241)</f>
        <v>30192</v>
      </c>
    </row>
    <row r="243" spans="1:19" ht="24.75" customHeight="1">
      <c r="A243" s="3" t="s">
        <v>173</v>
      </c>
      <c r="B243" s="2" t="s">
        <v>542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 customHeight="1">
      <c r="A244" s="7"/>
      <c r="B244" s="31" t="s">
        <v>502</v>
      </c>
      <c r="C244" s="7">
        <v>1</v>
      </c>
      <c r="D244" s="7">
        <v>11</v>
      </c>
      <c r="E244" s="7">
        <v>1678</v>
      </c>
      <c r="F244" s="7">
        <f>E244*C244</f>
        <v>1678</v>
      </c>
      <c r="G244" s="7"/>
      <c r="H244" s="7"/>
      <c r="I244" s="4"/>
      <c r="J244" s="4"/>
      <c r="K244" s="4"/>
      <c r="L244" s="4"/>
      <c r="M244" s="4"/>
      <c r="N244" s="4"/>
      <c r="O244" s="4"/>
      <c r="P244" s="4"/>
      <c r="Q244" s="4">
        <f>E244*C244+SUM(G244:O244)</f>
        <v>1678</v>
      </c>
      <c r="R244" s="4"/>
      <c r="S244" s="4">
        <f>Q244*$R$17</f>
        <v>20136</v>
      </c>
    </row>
    <row r="245" spans="1:19" ht="12.75" customHeight="1">
      <c r="A245" s="7"/>
      <c r="B245" s="31" t="s">
        <v>46</v>
      </c>
      <c r="C245" s="7">
        <v>1</v>
      </c>
      <c r="D245" s="7">
        <v>9</v>
      </c>
      <c r="E245" s="7">
        <v>1474</v>
      </c>
      <c r="F245" s="7">
        <f>E245*C245</f>
        <v>1474</v>
      </c>
      <c r="G245" s="7"/>
      <c r="H245" s="7"/>
      <c r="I245" s="4"/>
      <c r="J245" s="4"/>
      <c r="K245" s="4"/>
      <c r="L245" s="4"/>
      <c r="M245" s="4"/>
      <c r="N245" s="4"/>
      <c r="O245" s="4"/>
      <c r="P245" s="4"/>
      <c r="Q245" s="4">
        <f>E245*C245+SUM(G245:O245)</f>
        <v>1474</v>
      </c>
      <c r="R245" s="4"/>
      <c r="S245" s="4">
        <f>Q245*$R$17</f>
        <v>17688</v>
      </c>
    </row>
    <row r="246" spans="1:19" ht="12.75" customHeight="1">
      <c r="A246" s="10"/>
      <c r="B246" s="26" t="s">
        <v>40</v>
      </c>
      <c r="C246" s="10">
        <f>SUM(C244:C245)</f>
        <v>2</v>
      </c>
      <c r="D246" s="10"/>
      <c r="E246" s="10"/>
      <c r="F246" s="10">
        <f>SUM(F244:F245)</f>
        <v>3152</v>
      </c>
      <c r="G246" s="10"/>
      <c r="H246" s="10"/>
      <c r="I246" s="11"/>
      <c r="J246" s="11"/>
      <c r="K246" s="11"/>
      <c r="L246" s="11"/>
      <c r="M246" s="11"/>
      <c r="N246" s="11"/>
      <c r="O246" s="11"/>
      <c r="P246" s="11"/>
      <c r="Q246" s="11">
        <f>SUM(Q244:Q245)</f>
        <v>3152</v>
      </c>
      <c r="R246" s="11">
        <f>SUM(R244:R245)</f>
        <v>0</v>
      </c>
      <c r="S246" s="11">
        <f>SUM(S244:S245)</f>
        <v>37824</v>
      </c>
    </row>
    <row r="247" spans="1:19" ht="12.75" customHeight="1">
      <c r="A247" s="3" t="s">
        <v>174</v>
      </c>
      <c r="B247" s="2" t="s">
        <v>233</v>
      </c>
      <c r="C247" s="3"/>
      <c r="D247" s="3"/>
      <c r="E247" s="122"/>
      <c r="F247" s="3"/>
      <c r="G247" s="3"/>
      <c r="H247" s="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2.75" customHeight="1">
      <c r="A248" s="7"/>
      <c r="B248" s="31" t="s">
        <v>502</v>
      </c>
      <c r="C248" s="7">
        <v>1</v>
      </c>
      <c r="D248" s="7">
        <v>11</v>
      </c>
      <c r="E248" s="7">
        <v>1678</v>
      </c>
      <c r="F248" s="7">
        <f>E248*C248</f>
        <v>1678</v>
      </c>
      <c r="G248" s="7"/>
      <c r="H248" s="7"/>
      <c r="I248" s="4"/>
      <c r="J248" s="4"/>
      <c r="K248" s="4"/>
      <c r="L248" s="4"/>
      <c r="M248" s="4"/>
      <c r="N248" s="4"/>
      <c r="O248" s="4"/>
      <c r="P248" s="4"/>
      <c r="Q248" s="4">
        <f>E248*C248+SUM(G248:O248)</f>
        <v>1678</v>
      </c>
      <c r="R248" s="4"/>
      <c r="S248" s="4">
        <f>Q248*$R$17</f>
        <v>20136</v>
      </c>
    </row>
    <row r="249" spans="1:19" ht="12.75" customHeight="1">
      <c r="A249" s="8"/>
      <c r="B249" s="27" t="s">
        <v>46</v>
      </c>
      <c r="C249" s="8">
        <v>1</v>
      </c>
      <c r="D249" s="7">
        <v>9</v>
      </c>
      <c r="E249" s="7">
        <v>1474</v>
      </c>
      <c r="F249" s="7">
        <f>E249*C249</f>
        <v>1474</v>
      </c>
      <c r="G249" s="8"/>
      <c r="H249" s="8"/>
      <c r="I249" s="9"/>
      <c r="J249" s="9"/>
      <c r="K249" s="9"/>
      <c r="L249" s="9"/>
      <c r="M249" s="9"/>
      <c r="N249" s="9"/>
      <c r="O249" s="9"/>
      <c r="P249" s="9"/>
      <c r="Q249" s="4">
        <f>E249*C249+SUM(G249:O249)</f>
        <v>1474</v>
      </c>
      <c r="R249" s="4"/>
      <c r="S249" s="4">
        <f>Q249*$R$17</f>
        <v>17688</v>
      </c>
    </row>
    <row r="250" spans="1:19" ht="12.75" customHeight="1">
      <c r="A250" s="10"/>
      <c r="B250" s="26" t="s">
        <v>40</v>
      </c>
      <c r="C250" s="10">
        <f>SUM(C248:C249)</f>
        <v>2</v>
      </c>
      <c r="D250" s="10"/>
      <c r="E250" s="11"/>
      <c r="F250" s="11">
        <f>SUM(F248:F249)</f>
        <v>3152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4"/>
      <c r="Q250" s="11">
        <f>SUM(Q248:Q249)</f>
        <v>3152</v>
      </c>
      <c r="R250" s="11">
        <f>SUM(R248:R249)</f>
        <v>0</v>
      </c>
      <c r="S250" s="11">
        <f>SUM(S248:S249)</f>
        <v>37824</v>
      </c>
    </row>
    <row r="251" spans="1:19" ht="24.75" customHeight="1">
      <c r="A251" s="3" t="s">
        <v>204</v>
      </c>
      <c r="B251" s="2" t="s">
        <v>496</v>
      </c>
      <c r="C251" s="3"/>
      <c r="D251" s="3"/>
      <c r="E251" s="3"/>
      <c r="F251" s="3"/>
      <c r="G251" s="3"/>
      <c r="H251" s="3"/>
      <c r="I251" s="5"/>
      <c r="J251" s="5"/>
      <c r="K251" s="5"/>
      <c r="L251" s="5"/>
      <c r="M251" s="5"/>
      <c r="N251" s="5"/>
      <c r="O251" s="5"/>
      <c r="P251" s="61"/>
      <c r="Q251" s="61"/>
      <c r="R251" s="61"/>
      <c r="S251" s="5"/>
    </row>
    <row r="252" spans="1:19" ht="12.75">
      <c r="A252" s="7"/>
      <c r="B252" s="31" t="s">
        <v>502</v>
      </c>
      <c r="C252" s="7">
        <v>1</v>
      </c>
      <c r="D252" s="7">
        <v>11</v>
      </c>
      <c r="E252" s="7">
        <v>1678</v>
      </c>
      <c r="F252" s="7">
        <f>E252*C252</f>
        <v>1678</v>
      </c>
      <c r="G252" s="7"/>
      <c r="H252" s="7"/>
      <c r="I252" s="4"/>
      <c r="J252" s="4"/>
      <c r="K252" s="4"/>
      <c r="L252" s="4"/>
      <c r="M252" s="4"/>
      <c r="N252" s="4"/>
      <c r="O252" s="4"/>
      <c r="P252" s="4"/>
      <c r="Q252" s="4">
        <f>E252*C252+SUM(G252:O252)</f>
        <v>1678</v>
      </c>
      <c r="R252" s="4"/>
      <c r="S252" s="4">
        <f>Q252*$R$17</f>
        <v>20136</v>
      </c>
    </row>
    <row r="253" spans="1:19" ht="12.75" customHeight="1">
      <c r="A253" s="7"/>
      <c r="B253" s="31" t="s">
        <v>61</v>
      </c>
      <c r="C253" s="7">
        <v>1</v>
      </c>
      <c r="D253" s="7">
        <v>7</v>
      </c>
      <c r="E253" s="7">
        <v>1312</v>
      </c>
      <c r="F253" s="7">
        <f>E253*C253</f>
        <v>1312</v>
      </c>
      <c r="G253" s="7"/>
      <c r="H253" s="7"/>
      <c r="I253" s="4"/>
      <c r="J253" s="4"/>
      <c r="K253" s="4"/>
      <c r="L253" s="4"/>
      <c r="M253" s="4"/>
      <c r="N253" s="4"/>
      <c r="O253" s="4"/>
      <c r="P253" s="4"/>
      <c r="Q253" s="4">
        <f>E253*C253+SUM(G253:O253)</f>
        <v>1312</v>
      </c>
      <c r="R253" s="4"/>
      <c r="S253" s="4">
        <f>Q253*$R$17</f>
        <v>15744</v>
      </c>
    </row>
    <row r="254" spans="1:19" ht="12.75" customHeight="1">
      <c r="A254" s="8"/>
      <c r="B254" s="27" t="s">
        <v>457</v>
      </c>
      <c r="C254" s="8">
        <v>1</v>
      </c>
      <c r="D254" s="8">
        <v>4</v>
      </c>
      <c r="E254" s="8">
        <v>1243</v>
      </c>
      <c r="F254" s="7">
        <f>E254*C254</f>
        <v>1243</v>
      </c>
      <c r="G254" s="8"/>
      <c r="H254" s="8"/>
      <c r="I254" s="8"/>
      <c r="J254" s="8"/>
      <c r="K254" s="8"/>
      <c r="L254" s="8"/>
      <c r="M254" s="8"/>
      <c r="N254" s="8"/>
      <c r="O254" s="8"/>
      <c r="P254" s="7"/>
      <c r="Q254" s="4">
        <f>E254*C254+SUM(G254:O254)</f>
        <v>1243</v>
      </c>
      <c r="R254" s="7"/>
      <c r="S254" s="4">
        <f>Q254*$R$17</f>
        <v>14916</v>
      </c>
    </row>
    <row r="255" spans="1:19" ht="12.75" customHeight="1">
      <c r="A255" s="10"/>
      <c r="B255" s="26" t="s">
        <v>40</v>
      </c>
      <c r="C255" s="10">
        <f>SUM(C252:C254)</f>
        <v>3</v>
      </c>
      <c r="D255" s="10"/>
      <c r="E255" s="10"/>
      <c r="F255" s="10">
        <f>SUM(F252:F254)</f>
        <v>4233</v>
      </c>
      <c r="G255" s="10"/>
      <c r="H255" s="10"/>
      <c r="I255" s="11"/>
      <c r="J255" s="11"/>
      <c r="K255" s="11"/>
      <c r="L255" s="11"/>
      <c r="M255" s="11"/>
      <c r="N255" s="11"/>
      <c r="O255" s="11"/>
      <c r="P255" s="11"/>
      <c r="Q255" s="11">
        <f>SUM(Q252:Q254)</f>
        <v>4233</v>
      </c>
      <c r="R255" s="11">
        <f>SUM(R252:R254)</f>
        <v>0</v>
      </c>
      <c r="S255" s="11">
        <f>SUM(S252:S254)</f>
        <v>50796</v>
      </c>
    </row>
    <row r="256" spans="1:19" ht="12" customHeight="1">
      <c r="A256" s="3" t="s">
        <v>260</v>
      </c>
      <c r="B256" s="58" t="s">
        <v>237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" customHeight="1">
      <c r="A257" s="8"/>
      <c r="B257" s="31" t="s">
        <v>44</v>
      </c>
      <c r="C257" s="8">
        <v>1</v>
      </c>
      <c r="D257" s="8">
        <v>7</v>
      </c>
      <c r="E257" s="8">
        <v>1312</v>
      </c>
      <c r="F257" s="8">
        <f>E257*C257</f>
        <v>1312</v>
      </c>
      <c r="G257" s="8"/>
      <c r="H257" s="8"/>
      <c r="I257" s="9"/>
      <c r="J257" s="9"/>
      <c r="K257" s="9"/>
      <c r="L257" s="9"/>
      <c r="M257" s="9"/>
      <c r="N257" s="9"/>
      <c r="O257" s="9"/>
      <c r="P257" s="9"/>
      <c r="Q257" s="4">
        <f>E257*C257+SUM(G257:O257)</f>
        <v>1312</v>
      </c>
      <c r="R257" s="4"/>
      <c r="S257" s="4">
        <f>Q257*$R$17</f>
        <v>15744</v>
      </c>
    </row>
    <row r="258" spans="1:19" ht="12" customHeight="1">
      <c r="A258" s="10"/>
      <c r="B258" s="26" t="s">
        <v>40</v>
      </c>
      <c r="C258" s="10">
        <f>SUM(C257:C257)</f>
        <v>1</v>
      </c>
      <c r="D258" s="10"/>
      <c r="E258" s="10"/>
      <c r="F258" s="10">
        <f>SUM(F257:F257)</f>
        <v>1312</v>
      </c>
      <c r="G258" s="10"/>
      <c r="H258" s="10"/>
      <c r="I258" s="11"/>
      <c r="J258" s="10"/>
      <c r="K258" s="10"/>
      <c r="L258" s="10"/>
      <c r="M258" s="10"/>
      <c r="N258" s="10"/>
      <c r="O258" s="10"/>
      <c r="P258" s="11"/>
      <c r="Q258" s="11">
        <f>SUM(Q257:Q257)</f>
        <v>1312</v>
      </c>
      <c r="R258" s="11">
        <f>SUM(R257:R257)</f>
        <v>0</v>
      </c>
      <c r="S258" s="11">
        <f>SUM(S257:S257)</f>
        <v>15744</v>
      </c>
    </row>
    <row r="259" spans="1:19" ht="12" customHeight="1">
      <c r="A259" s="3" t="s">
        <v>337</v>
      </c>
      <c r="B259" s="2" t="s">
        <v>232</v>
      </c>
      <c r="C259" s="3"/>
      <c r="D259" s="3"/>
      <c r="E259" s="122"/>
      <c r="F259" s="12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" customHeight="1">
      <c r="A260" s="7"/>
      <c r="B260" s="27" t="s">
        <v>154</v>
      </c>
      <c r="C260" s="7">
        <v>1</v>
      </c>
      <c r="D260" s="7">
        <v>4</v>
      </c>
      <c r="E260" s="8">
        <v>1243</v>
      </c>
      <c r="F260" s="7">
        <f>E260*C260</f>
        <v>1243</v>
      </c>
      <c r="G260" s="8"/>
      <c r="H260" s="8"/>
      <c r="I260" s="8"/>
      <c r="J260" s="8"/>
      <c r="K260" s="8"/>
      <c r="L260" s="8"/>
      <c r="M260" s="8"/>
      <c r="N260" s="8"/>
      <c r="O260" s="8"/>
      <c r="P260" s="7"/>
      <c r="Q260" s="4">
        <f>E260*C260+SUM(G260:O260)</f>
        <v>1243</v>
      </c>
      <c r="R260" s="7"/>
      <c r="S260" s="4">
        <f>Q260*$R$17</f>
        <v>14916</v>
      </c>
    </row>
    <row r="261" spans="1:19" ht="12" customHeight="1">
      <c r="A261" s="10"/>
      <c r="B261" s="26" t="s">
        <v>40</v>
      </c>
      <c r="C261" s="10">
        <f>SUM(C260:C260)</f>
        <v>1</v>
      </c>
      <c r="D261" s="10"/>
      <c r="E261" s="68"/>
      <c r="F261" s="10">
        <f>SUM(F260:F260)</f>
        <v>1243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>
        <f>SUM(Q260:Q260)</f>
        <v>1243</v>
      </c>
      <c r="R261" s="11">
        <f>SUM(R260:R260)</f>
        <v>0</v>
      </c>
      <c r="S261" s="11">
        <f>SUM(S260:S260)</f>
        <v>14916</v>
      </c>
    </row>
    <row r="262" spans="1:19" ht="24.75" customHeight="1">
      <c r="A262" s="3" t="s">
        <v>338</v>
      </c>
      <c r="B262" s="2" t="s">
        <v>95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9"/>
      <c r="Q262" s="29"/>
      <c r="R262" s="29"/>
      <c r="S262" s="3"/>
    </row>
    <row r="263" spans="1:19" ht="12.75">
      <c r="A263" s="7"/>
      <c r="B263" s="31" t="s">
        <v>96</v>
      </c>
      <c r="C263" s="7">
        <v>1</v>
      </c>
      <c r="D263" s="7">
        <v>11</v>
      </c>
      <c r="E263" s="7">
        <v>1678</v>
      </c>
      <c r="F263" s="7">
        <f aca="true" t="shared" si="18" ref="F263:F271">E263*C263</f>
        <v>1678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4">
        <f aca="true" t="shared" si="19" ref="Q263:Q271">E263*C263+SUM(G263:O263)</f>
        <v>1678</v>
      </c>
      <c r="R263" s="32"/>
      <c r="S263" s="4">
        <f aca="true" t="shared" si="20" ref="S263:S271">Q263*$R$17</f>
        <v>20136</v>
      </c>
    </row>
    <row r="264" spans="1:19" ht="12.75">
      <c r="A264" s="7"/>
      <c r="B264" s="31" t="s">
        <v>56</v>
      </c>
      <c r="C264" s="7">
        <v>2</v>
      </c>
      <c r="D264" s="7">
        <v>8</v>
      </c>
      <c r="E264" s="7">
        <v>1397</v>
      </c>
      <c r="F264" s="7">
        <f t="shared" si="18"/>
        <v>2794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4">
        <f t="shared" si="19"/>
        <v>2794</v>
      </c>
      <c r="R264" s="7"/>
      <c r="S264" s="4">
        <f t="shared" si="20"/>
        <v>33528</v>
      </c>
    </row>
    <row r="265" spans="1:19" ht="12.75">
      <c r="A265" s="7"/>
      <c r="B265" s="31" t="s">
        <v>77</v>
      </c>
      <c r="C265" s="7">
        <v>2</v>
      </c>
      <c r="D265" s="7">
        <v>7</v>
      </c>
      <c r="E265" s="7">
        <v>1312</v>
      </c>
      <c r="F265" s="7">
        <f t="shared" si="18"/>
        <v>2624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4">
        <f t="shared" si="19"/>
        <v>2624</v>
      </c>
      <c r="R265" s="7"/>
      <c r="S265" s="4">
        <f t="shared" si="20"/>
        <v>31488</v>
      </c>
    </row>
    <row r="266" spans="1:19" ht="12.75">
      <c r="A266" s="7"/>
      <c r="B266" s="31" t="s">
        <v>483</v>
      </c>
      <c r="C266" s="7">
        <v>1.5</v>
      </c>
      <c r="D266" s="7">
        <v>6</v>
      </c>
      <c r="E266" s="7">
        <v>1263</v>
      </c>
      <c r="F266" s="7">
        <f t="shared" si="18"/>
        <v>1894.5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4">
        <f t="shared" si="19"/>
        <v>1894.5</v>
      </c>
      <c r="R266" s="7"/>
      <c r="S266" s="4">
        <f t="shared" si="20"/>
        <v>22734</v>
      </c>
    </row>
    <row r="267" spans="1:19" ht="12.75">
      <c r="A267" s="7"/>
      <c r="B267" s="31" t="s">
        <v>482</v>
      </c>
      <c r="C267" s="7">
        <v>2</v>
      </c>
      <c r="D267" s="7">
        <v>5</v>
      </c>
      <c r="E267" s="7">
        <v>1253</v>
      </c>
      <c r="F267" s="7">
        <f t="shared" si="18"/>
        <v>2506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4">
        <f t="shared" si="19"/>
        <v>2506</v>
      </c>
      <c r="R267" s="7"/>
      <c r="S267" s="4">
        <f t="shared" si="20"/>
        <v>30072</v>
      </c>
    </row>
    <row r="268" spans="1:19" ht="12.75">
      <c r="A268" s="7"/>
      <c r="B268" s="31" t="s">
        <v>97</v>
      </c>
      <c r="C268" s="7">
        <v>0.5</v>
      </c>
      <c r="D268" s="7">
        <v>5</v>
      </c>
      <c r="E268" s="7">
        <v>1253</v>
      </c>
      <c r="F268" s="4">
        <f t="shared" si="18"/>
        <v>626.5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4">
        <f t="shared" si="19"/>
        <v>626.5</v>
      </c>
      <c r="R268" s="7"/>
      <c r="S268" s="4">
        <f t="shared" si="20"/>
        <v>7518</v>
      </c>
    </row>
    <row r="269" spans="1:19" ht="12.75">
      <c r="A269" s="7"/>
      <c r="B269" s="31" t="s">
        <v>236</v>
      </c>
      <c r="C269" s="7">
        <v>1</v>
      </c>
      <c r="D269" s="7">
        <v>7</v>
      </c>
      <c r="E269" s="7">
        <v>1312</v>
      </c>
      <c r="F269" s="7">
        <f t="shared" si="18"/>
        <v>1312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4">
        <f t="shared" si="19"/>
        <v>1312</v>
      </c>
      <c r="R269" s="7"/>
      <c r="S269" s="4">
        <f t="shared" si="20"/>
        <v>15744</v>
      </c>
    </row>
    <row r="270" spans="1:19" ht="12.75">
      <c r="A270" s="7"/>
      <c r="B270" s="31" t="s">
        <v>425</v>
      </c>
      <c r="C270" s="7">
        <v>0.5</v>
      </c>
      <c r="D270" s="7">
        <v>5</v>
      </c>
      <c r="E270" s="7">
        <v>1253</v>
      </c>
      <c r="F270" s="7">
        <f t="shared" si="18"/>
        <v>626.5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4">
        <f t="shared" si="19"/>
        <v>626.5</v>
      </c>
      <c r="R270" s="7"/>
      <c r="S270" s="4">
        <f t="shared" si="20"/>
        <v>7518</v>
      </c>
    </row>
    <row r="271" spans="1:19" ht="12.75">
      <c r="A271" s="7"/>
      <c r="B271" s="31" t="s">
        <v>426</v>
      </c>
      <c r="C271" s="7">
        <v>0.5</v>
      </c>
      <c r="D271" s="7">
        <v>4</v>
      </c>
      <c r="E271" s="8">
        <v>1243</v>
      </c>
      <c r="F271" s="7">
        <f t="shared" si="18"/>
        <v>621.5</v>
      </c>
      <c r="G271" s="8"/>
      <c r="H271" s="8"/>
      <c r="I271" s="8"/>
      <c r="J271" s="8"/>
      <c r="K271" s="8"/>
      <c r="L271" s="8"/>
      <c r="M271" s="8"/>
      <c r="N271" s="8"/>
      <c r="O271" s="8"/>
      <c r="P271" s="7"/>
      <c r="Q271" s="4">
        <f t="shared" si="19"/>
        <v>621.5</v>
      </c>
      <c r="R271" s="7"/>
      <c r="S271" s="4">
        <f t="shared" si="20"/>
        <v>7458</v>
      </c>
    </row>
    <row r="272" spans="1:19" ht="12.75">
      <c r="A272" s="10"/>
      <c r="B272" s="26" t="s">
        <v>40</v>
      </c>
      <c r="C272" s="22">
        <f>SUM(C263:C271)</f>
        <v>11</v>
      </c>
      <c r="D272" s="10"/>
      <c r="E272" s="10"/>
      <c r="F272" s="10">
        <f>SUM(F263:F271)</f>
        <v>14683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2">
        <f>SUM(Q263:Q271)</f>
        <v>14683</v>
      </c>
      <c r="R272" s="22">
        <f>SUM(R263:R271)</f>
        <v>0</v>
      </c>
      <c r="S272" s="22">
        <f>SUM(S263:S271)</f>
        <v>176196</v>
      </c>
    </row>
    <row r="273" spans="1:19" ht="25.5" customHeight="1">
      <c r="A273" s="3" t="s">
        <v>339</v>
      </c>
      <c r="B273" s="2" t="s">
        <v>99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" customHeight="1">
      <c r="A274" s="7"/>
      <c r="B274" s="31" t="s">
        <v>502</v>
      </c>
      <c r="C274" s="7">
        <v>1</v>
      </c>
      <c r="D274" s="7">
        <v>11</v>
      </c>
      <c r="E274" s="7">
        <v>1678</v>
      </c>
      <c r="F274" s="7">
        <f>E274*C274</f>
        <v>1678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4">
        <f>E274*C274+SUM(G274:O274)</f>
        <v>1678</v>
      </c>
      <c r="R274" s="7"/>
      <c r="S274" s="4">
        <f>Q274*$R$17</f>
        <v>20136</v>
      </c>
    </row>
    <row r="275" spans="1:19" ht="12" customHeight="1">
      <c r="A275" s="8"/>
      <c r="B275" s="27" t="s">
        <v>192</v>
      </c>
      <c r="C275" s="8">
        <v>2</v>
      </c>
      <c r="D275" s="8">
        <v>6</v>
      </c>
      <c r="E275" s="8">
        <v>1263</v>
      </c>
      <c r="F275" s="7">
        <f>E275*C275</f>
        <v>2526</v>
      </c>
      <c r="G275" s="8"/>
      <c r="H275" s="8"/>
      <c r="I275" s="8"/>
      <c r="J275" s="8"/>
      <c r="K275" s="8"/>
      <c r="L275" s="8"/>
      <c r="M275" s="8"/>
      <c r="N275" s="8"/>
      <c r="O275" s="8"/>
      <c r="P275" s="7"/>
      <c r="Q275" s="4">
        <f>E275*C275+SUM(G275:O275)</f>
        <v>2526</v>
      </c>
      <c r="R275" s="7"/>
      <c r="S275" s="4">
        <f>Q275*$R$17</f>
        <v>30312</v>
      </c>
    </row>
    <row r="276" spans="1:19" ht="12" customHeight="1">
      <c r="A276" s="10"/>
      <c r="B276" s="26" t="s">
        <v>40</v>
      </c>
      <c r="C276" s="10">
        <f>SUM(C274:C275)</f>
        <v>3</v>
      </c>
      <c r="D276" s="10"/>
      <c r="E276" s="10"/>
      <c r="F276" s="10">
        <f>SUM(F274:F275)</f>
        <v>4204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>
        <f>SUM(Q274:Q275)</f>
        <v>4204</v>
      </c>
      <c r="R276" s="10">
        <f>SUM(R274:R275)</f>
        <v>0</v>
      </c>
      <c r="S276" s="10">
        <f>SUM(S274:S275)</f>
        <v>50448</v>
      </c>
    </row>
    <row r="277" spans="1:19" ht="24" customHeight="1">
      <c r="A277" s="3" t="s">
        <v>389</v>
      </c>
      <c r="B277" s="49" t="s">
        <v>155</v>
      </c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" customHeight="1">
      <c r="A278" s="7"/>
      <c r="B278" s="31" t="s">
        <v>502</v>
      </c>
      <c r="C278" s="7">
        <v>1</v>
      </c>
      <c r="D278" s="7">
        <v>11</v>
      </c>
      <c r="E278" s="7">
        <v>1678</v>
      </c>
      <c r="F278" s="7">
        <f>E278*C278</f>
        <v>1678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4">
        <f>E278*C278+SUM(G278:O278)</f>
        <v>1678</v>
      </c>
      <c r="R278" s="7"/>
      <c r="S278" s="4">
        <f>Q278*$R$17</f>
        <v>20136</v>
      </c>
    </row>
    <row r="279" spans="1:19" ht="12" customHeight="1">
      <c r="A279" s="7"/>
      <c r="B279" s="31" t="s">
        <v>61</v>
      </c>
      <c r="C279" s="7">
        <v>1</v>
      </c>
      <c r="D279" s="7">
        <v>7</v>
      </c>
      <c r="E279" s="7">
        <v>1312</v>
      </c>
      <c r="F279" s="7">
        <f>E279*C279</f>
        <v>1312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4">
        <f>E279*C279+SUM(G279:O279)</f>
        <v>1312</v>
      </c>
      <c r="R279" s="7"/>
      <c r="S279" s="4">
        <f>Q279*$R$17</f>
        <v>15744</v>
      </c>
    </row>
    <row r="280" spans="1:19" ht="12" customHeight="1">
      <c r="A280" s="7"/>
      <c r="B280" s="31" t="s">
        <v>413</v>
      </c>
      <c r="C280" s="7">
        <v>1</v>
      </c>
      <c r="D280" s="7">
        <v>7</v>
      </c>
      <c r="E280" s="7">
        <v>1312</v>
      </c>
      <c r="F280" s="7">
        <f>E280*C280</f>
        <v>1312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4">
        <f>E280*C280+SUM(G280:O280)</f>
        <v>1312</v>
      </c>
      <c r="R280" s="7"/>
      <c r="S280" s="4">
        <f>Q280*$R$17</f>
        <v>15744</v>
      </c>
    </row>
    <row r="281" spans="1:19" ht="12" customHeight="1">
      <c r="A281" s="8"/>
      <c r="B281" s="27" t="s">
        <v>52</v>
      </c>
      <c r="C281" s="8">
        <v>1</v>
      </c>
      <c r="D281" s="8">
        <v>4</v>
      </c>
      <c r="E281" s="8">
        <v>1243</v>
      </c>
      <c r="F281" s="7">
        <f>E281*C281</f>
        <v>1243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4">
        <f>E281*C281+SUM(G281:O281)</f>
        <v>1243</v>
      </c>
      <c r="R281" s="7"/>
      <c r="S281" s="4">
        <f>Q281*$R$17</f>
        <v>14916</v>
      </c>
    </row>
    <row r="282" spans="1:19" ht="12" customHeight="1">
      <c r="A282" s="3"/>
      <c r="B282" s="26" t="s">
        <v>40</v>
      </c>
      <c r="C282" s="10">
        <f>SUM(C278:C281)</f>
        <v>4</v>
      </c>
      <c r="D282" s="10"/>
      <c r="E282" s="10"/>
      <c r="F282" s="10">
        <f>SUM(F278:F281)</f>
        <v>5545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1">
        <f>SUM(Q278:Q281)</f>
        <v>5545</v>
      </c>
      <c r="R282" s="10">
        <f>SUM(R280:R281)</f>
        <v>0</v>
      </c>
      <c r="S282" s="11">
        <f>SUM(S278:S281)</f>
        <v>66540</v>
      </c>
    </row>
    <row r="283" spans="1:19" ht="12" customHeight="1">
      <c r="A283" s="3" t="s">
        <v>390</v>
      </c>
      <c r="B283" s="58" t="s">
        <v>245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" customHeight="1">
      <c r="A284" s="7"/>
      <c r="B284" s="31" t="s">
        <v>449</v>
      </c>
      <c r="C284" s="7">
        <v>1</v>
      </c>
      <c r="D284" s="7">
        <v>8</v>
      </c>
      <c r="E284" s="7">
        <v>1397</v>
      </c>
      <c r="F284" s="7">
        <f>E284*C284</f>
        <v>1397</v>
      </c>
      <c r="G284" s="62"/>
      <c r="H284" s="62"/>
      <c r="I284" s="62"/>
      <c r="J284" s="62"/>
      <c r="K284" s="62"/>
      <c r="L284" s="62"/>
      <c r="M284" s="62"/>
      <c r="N284" s="62"/>
      <c r="O284" s="63"/>
      <c r="P284" s="62"/>
      <c r="Q284" s="4">
        <f>E284*C284+SUM(G284:O284)</f>
        <v>1397</v>
      </c>
      <c r="R284" s="7"/>
      <c r="S284" s="4">
        <f>Q284*$R$17</f>
        <v>16764</v>
      </c>
    </row>
    <row r="285" spans="1:19" ht="12" customHeight="1">
      <c r="A285" s="7"/>
      <c r="B285" s="31" t="s">
        <v>61</v>
      </c>
      <c r="C285" s="7">
        <v>1</v>
      </c>
      <c r="D285" s="7">
        <v>7</v>
      </c>
      <c r="E285" s="7">
        <v>1312</v>
      </c>
      <c r="F285" s="7">
        <f>E285*C285</f>
        <v>1312</v>
      </c>
      <c r="G285" s="62"/>
      <c r="H285" s="62"/>
      <c r="I285" s="62"/>
      <c r="J285" s="62"/>
      <c r="K285" s="62"/>
      <c r="L285" s="62"/>
      <c r="M285" s="62"/>
      <c r="N285" s="62"/>
      <c r="O285" s="63"/>
      <c r="P285" s="62"/>
      <c r="Q285" s="4">
        <f>E285*C285+SUM(G285:O285)</f>
        <v>1312</v>
      </c>
      <c r="R285" s="7"/>
      <c r="S285" s="4">
        <f>Q285*$R$17</f>
        <v>15744</v>
      </c>
    </row>
    <row r="286" spans="1:19" ht="12" customHeight="1">
      <c r="A286" s="8"/>
      <c r="B286" s="27" t="s">
        <v>39</v>
      </c>
      <c r="C286" s="8">
        <v>1</v>
      </c>
      <c r="D286" s="8">
        <v>4</v>
      </c>
      <c r="E286" s="8">
        <v>1243</v>
      </c>
      <c r="F286" s="7">
        <f>E286*C286</f>
        <v>1243</v>
      </c>
      <c r="G286" s="59"/>
      <c r="H286" s="59"/>
      <c r="I286" s="59"/>
      <c r="J286" s="59"/>
      <c r="K286" s="59"/>
      <c r="L286" s="59"/>
      <c r="M286" s="59"/>
      <c r="N286" s="59"/>
      <c r="O286" s="60"/>
      <c r="P286" s="59"/>
      <c r="Q286" s="4">
        <f>E286*C286+SUM(G286:O286)</f>
        <v>1243</v>
      </c>
      <c r="R286" s="7"/>
      <c r="S286" s="4">
        <f>Q286*$R$17</f>
        <v>14916</v>
      </c>
    </row>
    <row r="287" spans="1:19" ht="12" customHeight="1">
      <c r="A287" s="10"/>
      <c r="B287" s="26" t="s">
        <v>40</v>
      </c>
      <c r="C287" s="10">
        <f>SUM(C283:C286)</f>
        <v>3</v>
      </c>
      <c r="D287" s="10"/>
      <c r="E287" s="11"/>
      <c r="F287" s="10">
        <f>SUM(F284:F286)</f>
        <v>3952</v>
      </c>
      <c r="G287" s="64"/>
      <c r="H287" s="64"/>
      <c r="I287" s="64"/>
      <c r="J287" s="64"/>
      <c r="K287" s="64"/>
      <c r="L287" s="64"/>
      <c r="M287" s="64"/>
      <c r="N287" s="11"/>
      <c r="O287" s="11"/>
      <c r="P287" s="11"/>
      <c r="Q287" s="10">
        <f>SUM(Q284:Q286)</f>
        <v>3952</v>
      </c>
      <c r="R287" s="10">
        <f>SUM(R284:R286)</f>
        <v>0</v>
      </c>
      <c r="S287" s="10">
        <f>SUM(S284:S286)</f>
        <v>47424</v>
      </c>
    </row>
    <row r="288" spans="1:19" ht="12" customHeight="1">
      <c r="A288" s="3" t="s">
        <v>391</v>
      </c>
      <c r="B288" s="2" t="s">
        <v>100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" customHeight="1">
      <c r="A289" s="8"/>
      <c r="B289" s="27" t="s">
        <v>503</v>
      </c>
      <c r="C289" s="8">
        <v>1</v>
      </c>
      <c r="D289" s="8">
        <v>10</v>
      </c>
      <c r="E289" s="8">
        <v>1551</v>
      </c>
      <c r="F289" s="7">
        <f>E289*C289</f>
        <v>1551</v>
      </c>
      <c r="G289" s="8"/>
      <c r="H289" s="8"/>
      <c r="I289" s="9">
        <f>E289*C289*0.3</f>
        <v>465.29999999999995</v>
      </c>
      <c r="J289" s="9"/>
      <c r="K289" s="9"/>
      <c r="L289" s="9"/>
      <c r="M289" s="9"/>
      <c r="N289" s="9"/>
      <c r="O289" s="9"/>
      <c r="P289" s="4">
        <f>SUM(G289:O289)</f>
        <v>465.29999999999995</v>
      </c>
      <c r="Q289" s="4">
        <f>E289*C289+SUM(G289:O289)</f>
        <v>2016.3</v>
      </c>
      <c r="R289" s="4"/>
      <c r="S289" s="4">
        <f>Q289*$R$17</f>
        <v>24195.6</v>
      </c>
    </row>
    <row r="290" spans="1:19" ht="12" customHeight="1">
      <c r="A290" s="10"/>
      <c r="B290" s="26" t="s">
        <v>40</v>
      </c>
      <c r="C290" s="10">
        <f>SUM(C289)</f>
        <v>1</v>
      </c>
      <c r="D290" s="10"/>
      <c r="E290" s="10"/>
      <c r="F290" s="10">
        <f>SUM(F289)</f>
        <v>1551</v>
      </c>
      <c r="G290" s="10"/>
      <c r="H290" s="10"/>
      <c r="I290" s="11">
        <f>I289</f>
        <v>465.29999999999995</v>
      </c>
      <c r="J290" s="11"/>
      <c r="K290" s="11"/>
      <c r="L290" s="11"/>
      <c r="M290" s="11"/>
      <c r="N290" s="11"/>
      <c r="O290" s="11"/>
      <c r="P290" s="11">
        <f>SUM(P289:P289)</f>
        <v>465.29999999999995</v>
      </c>
      <c r="Q290" s="11">
        <f>SUM(Q289:Q289)</f>
        <v>2016.3</v>
      </c>
      <c r="R290" s="11">
        <f>SUM(R289:R289)</f>
        <v>0</v>
      </c>
      <c r="S290" s="11">
        <f>SUM(S289:S289)</f>
        <v>24195.6</v>
      </c>
    </row>
    <row r="291" spans="1:19" ht="12" customHeight="1">
      <c r="A291" s="10"/>
      <c r="B291" s="26" t="s">
        <v>101</v>
      </c>
      <c r="C291" s="22">
        <f>C57+C61+C65+C70+C75+C80+C87+C92+C96+C102+C108+C116+C122+C127+C131+C138+C144+C150+C157+C165+C171+C174+C177+C183+C189+C193+C198+C203+C209+C214+C218+C221+C226+C231+C235+C238+C242+C246+C250+C255+C258+C261+C272+C276+C282+C287+C290</f>
        <v>173.5</v>
      </c>
      <c r="D291" s="22"/>
      <c r="E291" s="22"/>
      <c r="F291" s="11">
        <f>F57+F61+F65+F70+F75+F80+F87+F92+F96+F102+F108+F116+F122+F127+F131+F138+F144+F150+F157+F165+F171+F174+F177+F183+F189+F193+F198+F203+F209+F214+F218+F221+F226+F231+F235+F238+F242+F246+F250+F255+F258+F261+F272+F276+F282+F287+F290</f>
        <v>238440.5</v>
      </c>
      <c r="G291" s="11"/>
      <c r="H291" s="11"/>
      <c r="I291" s="11">
        <f>I57+I61+I65+I70+I75+I80+I87+I92+I96+I102+I108+I116+I122+I127+I131+I138+I144+I150+I157+I165+I171+I174+I177+I183+I189+I193+I198+I203+I209+I214+I218+I221+I226+I231+I235+I238+I242+I246+I250+I255+I258+I261+I272+I276+I282+I287+I290</f>
        <v>465.29999999999995</v>
      </c>
      <c r="J291" s="11"/>
      <c r="K291" s="11"/>
      <c r="L291" s="11"/>
      <c r="M291" s="11"/>
      <c r="N291" s="11"/>
      <c r="O291" s="11">
        <f>O57+O61+O65+O70+O75+O80+O87+O92+O96+O102+O108+O116+O122+O127+O131+O138+O144+O150+O157+O165+O171+O174+O177+O183+O189+O193+O198+O203+O209+O214+O218+O221+O226+O231+O235+O238+O242+O246+O250+O255+O258+O261+O272+O276+O282+O287+O290</f>
        <v>959.16</v>
      </c>
      <c r="P291" s="11">
        <f>P57+P61+P65+P70+P75+P80+P87+P92+P96+P102+P108+P116+P122+P127+P131+P138+P144+P150+P157+P165+P171+P174+P177+P183+P189+P193+P198+P203+P209+P214+P218+P221+P226+P231+P235+P238+P242+P246+P250+P255+P258+P261+P272+P276+P282+P287+P290</f>
        <v>1424.46</v>
      </c>
      <c r="Q291" s="11">
        <f>Q57+Q61+Q65+Q70+Q75+Q80+Q87+Q92+Q96+Q102+Q108+Q116+Q122+Q127+Q131+Q138+Q144+Q150+Q157+Q165+Q171+Q174+Q177+Q183+Q189+Q193+Q198+Q203+Q209+Q214+Q218+Q221+Q226+Q231+Q235+Q238+Q242+Q246+Q250+Q255+Q258+Q261+Q272+Q276+Q282+Q287+Q290</f>
        <v>239864.96</v>
      </c>
      <c r="R291" s="11">
        <f>R57+R61+R65+R70+R75+R80+R87+R92+R96+R102+R108+R116+R122+R127+R131+R138+R144+R150+R157+R165+R171+R174+R177+R183+R189+R193+R198+R203+R209+R214+R218+R221+R226+R231+R235+R238+R242+R246+R250+R255+R258+R261+R272+R276+R282+R287+R290</f>
        <v>0</v>
      </c>
      <c r="S291" s="11">
        <f>S57+S61+S65+S70+S75+S80+S87+S92+S96+S102+S108+S116+S122+S127+S131+S138+S144+S150+S157+S165+S171+S174+S177+S183+S189+S193+S198+S203+S209+S214+S218+S221+S226+S231+S235+S238+S242+S246+S250+S255+S258+S261+S272+S276+S282+S287+S290</f>
        <v>2878379.52</v>
      </c>
    </row>
    <row r="292" spans="1:19" ht="12" customHeight="1">
      <c r="A292" s="10"/>
      <c r="B292" s="197" t="s">
        <v>355</v>
      </c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9"/>
    </row>
    <row r="293" spans="1:19" ht="12" customHeight="1">
      <c r="A293" s="3" t="s">
        <v>9</v>
      </c>
      <c r="B293" s="2" t="s">
        <v>102</v>
      </c>
      <c r="C293" s="3"/>
      <c r="D293" s="3"/>
      <c r="E293" s="3"/>
      <c r="F293" s="7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" customHeight="1">
      <c r="A294" s="7"/>
      <c r="B294" s="31" t="s">
        <v>103</v>
      </c>
      <c r="C294" s="7">
        <v>1</v>
      </c>
      <c r="D294" s="7"/>
      <c r="E294" s="4">
        <v>2601</v>
      </c>
      <c r="F294" s="71">
        <f aca="true" t="shared" si="21" ref="F294:F299">E294*C294</f>
        <v>2601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4">
        <f aca="true" t="shared" si="22" ref="Q294:Q299">E294*C294+SUM(G294:O294)</f>
        <v>2601</v>
      </c>
      <c r="R294" s="7"/>
      <c r="S294" s="4">
        <f aca="true" t="shared" si="23" ref="S294:S299">Q294*$R$17</f>
        <v>31212</v>
      </c>
    </row>
    <row r="295" spans="1:19" ht="12" customHeight="1">
      <c r="A295" s="7"/>
      <c r="B295" s="31" t="s">
        <v>487</v>
      </c>
      <c r="C295" s="7">
        <v>1</v>
      </c>
      <c r="D295" s="7"/>
      <c r="E295" s="4">
        <v>2174</v>
      </c>
      <c r="F295" s="71">
        <f t="shared" si="21"/>
        <v>2174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4">
        <f t="shared" si="22"/>
        <v>2174</v>
      </c>
      <c r="R295" s="7"/>
      <c r="S295" s="4">
        <f t="shared" si="23"/>
        <v>26088</v>
      </c>
    </row>
    <row r="296" spans="1:19" ht="12" customHeight="1">
      <c r="A296" s="7"/>
      <c r="B296" s="31" t="s">
        <v>104</v>
      </c>
      <c r="C296" s="7">
        <v>1</v>
      </c>
      <c r="D296" s="7">
        <v>12</v>
      </c>
      <c r="E296" s="4">
        <v>1806</v>
      </c>
      <c r="F296" s="71">
        <f t="shared" si="21"/>
        <v>1806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4">
        <f t="shared" si="22"/>
        <v>1806</v>
      </c>
      <c r="R296" s="7"/>
      <c r="S296" s="4">
        <f t="shared" si="23"/>
        <v>21672</v>
      </c>
    </row>
    <row r="297" spans="1:19" ht="12" customHeight="1">
      <c r="A297" s="7"/>
      <c r="B297" s="31" t="s">
        <v>105</v>
      </c>
      <c r="C297" s="7">
        <v>1</v>
      </c>
      <c r="D297" s="7">
        <v>11</v>
      </c>
      <c r="E297" s="4">
        <v>1678</v>
      </c>
      <c r="F297" s="71">
        <f t="shared" si="21"/>
        <v>1678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4">
        <f t="shared" si="22"/>
        <v>1678</v>
      </c>
      <c r="R297" s="7"/>
      <c r="S297" s="4">
        <f t="shared" si="23"/>
        <v>20136</v>
      </c>
    </row>
    <row r="298" spans="1:19" ht="12" customHeight="1">
      <c r="A298" s="7"/>
      <c r="B298" s="31" t="s">
        <v>106</v>
      </c>
      <c r="C298" s="7">
        <v>1</v>
      </c>
      <c r="D298" s="7">
        <v>11</v>
      </c>
      <c r="E298" s="4">
        <v>1678</v>
      </c>
      <c r="F298" s="71">
        <f t="shared" si="21"/>
        <v>1678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4">
        <f t="shared" si="22"/>
        <v>1678</v>
      </c>
      <c r="R298" s="7"/>
      <c r="S298" s="4">
        <f t="shared" si="23"/>
        <v>20136</v>
      </c>
    </row>
    <row r="299" spans="1:19" ht="12" customHeight="1">
      <c r="A299" s="7"/>
      <c r="B299" s="27" t="s">
        <v>354</v>
      </c>
      <c r="C299" s="8">
        <v>1</v>
      </c>
      <c r="D299" s="8">
        <v>4</v>
      </c>
      <c r="E299" s="8">
        <v>1243</v>
      </c>
      <c r="F299" s="71">
        <f t="shared" si="21"/>
        <v>1243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4">
        <f t="shared" si="22"/>
        <v>1243</v>
      </c>
      <c r="R299" s="7"/>
      <c r="S299" s="4">
        <f t="shared" si="23"/>
        <v>14916</v>
      </c>
    </row>
    <row r="300" spans="1:19" ht="12" customHeight="1">
      <c r="A300" s="10"/>
      <c r="B300" s="26" t="s">
        <v>40</v>
      </c>
      <c r="C300" s="10">
        <f>SUM(C294:C299)</f>
        <v>6</v>
      </c>
      <c r="D300" s="10"/>
      <c r="E300" s="10"/>
      <c r="F300" s="72">
        <f>SUM(F294:F299)</f>
        <v>11180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>
        <f>SUM(Q294:Q299)</f>
        <v>11180</v>
      </c>
      <c r="R300" s="10">
        <f>SUM(R294:R299)</f>
        <v>0</v>
      </c>
      <c r="S300" s="10">
        <f>SUM(S294:S299)</f>
        <v>134160</v>
      </c>
    </row>
    <row r="301" spans="1:19" ht="12" customHeight="1">
      <c r="A301" s="3" t="s">
        <v>11</v>
      </c>
      <c r="B301" s="2" t="s">
        <v>470</v>
      </c>
      <c r="C301" s="3"/>
      <c r="D301" s="3"/>
      <c r="E301" s="5"/>
      <c r="F301" s="7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</row>
    <row r="302" spans="1:19" ht="12" customHeight="1">
      <c r="A302" s="7"/>
      <c r="B302" s="31" t="s">
        <v>471</v>
      </c>
      <c r="C302" s="7">
        <v>1</v>
      </c>
      <c r="D302" s="7">
        <v>12</v>
      </c>
      <c r="E302" s="4">
        <v>1806</v>
      </c>
      <c r="F302" s="71">
        <f aca="true" t="shared" si="24" ref="F302:F309">E302*C302</f>
        <v>1806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4">
        <f aca="true" t="shared" si="25" ref="Q302:Q309">E302*C302+SUM(G302:O302)</f>
        <v>1806</v>
      </c>
      <c r="R302" s="7"/>
      <c r="S302" s="4">
        <f aca="true" t="shared" si="26" ref="S302:S309">Q302*$R$17</f>
        <v>21672</v>
      </c>
    </row>
    <row r="303" spans="1:19" ht="24" customHeight="1">
      <c r="A303" s="7"/>
      <c r="B303" s="31" t="s">
        <v>497</v>
      </c>
      <c r="C303" s="7">
        <v>1</v>
      </c>
      <c r="D303" s="7"/>
      <c r="E303" s="4">
        <v>1716</v>
      </c>
      <c r="F303" s="71">
        <f t="shared" si="24"/>
        <v>1716</v>
      </c>
      <c r="G303" s="7"/>
      <c r="H303" s="7"/>
      <c r="I303" s="4"/>
      <c r="J303" s="7"/>
      <c r="K303" s="7"/>
      <c r="L303" s="7"/>
      <c r="M303" s="7"/>
      <c r="N303" s="7"/>
      <c r="O303" s="7"/>
      <c r="P303" s="4"/>
      <c r="Q303" s="4">
        <f t="shared" si="25"/>
        <v>1716</v>
      </c>
      <c r="R303" s="7"/>
      <c r="S303" s="4">
        <f t="shared" si="26"/>
        <v>20592</v>
      </c>
    </row>
    <row r="304" spans="1:19" ht="12" customHeight="1">
      <c r="A304" s="7"/>
      <c r="B304" s="31" t="s">
        <v>107</v>
      </c>
      <c r="C304" s="7">
        <v>2</v>
      </c>
      <c r="D304" s="7">
        <v>7</v>
      </c>
      <c r="E304" s="4">
        <v>1312</v>
      </c>
      <c r="F304" s="71">
        <f t="shared" si="24"/>
        <v>2624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4">
        <f t="shared" si="25"/>
        <v>2624</v>
      </c>
      <c r="R304" s="7"/>
      <c r="S304" s="4">
        <f t="shared" si="26"/>
        <v>31488</v>
      </c>
    </row>
    <row r="305" spans="1:19" ht="12" customHeight="1">
      <c r="A305" s="7"/>
      <c r="B305" s="31" t="s">
        <v>488</v>
      </c>
      <c r="C305" s="7">
        <v>1</v>
      </c>
      <c r="D305" s="7">
        <v>5</v>
      </c>
      <c r="E305" s="4">
        <v>1253</v>
      </c>
      <c r="F305" s="71">
        <f t="shared" si="24"/>
        <v>1253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4">
        <f t="shared" si="25"/>
        <v>1253</v>
      </c>
      <c r="R305" s="7"/>
      <c r="S305" s="4">
        <f t="shared" si="26"/>
        <v>15036</v>
      </c>
    </row>
    <row r="306" spans="1:19" ht="12" customHeight="1">
      <c r="A306" s="7"/>
      <c r="B306" s="31" t="s">
        <v>108</v>
      </c>
      <c r="C306" s="7">
        <v>2</v>
      </c>
      <c r="D306" s="7">
        <v>5</v>
      </c>
      <c r="E306" s="4">
        <v>1253</v>
      </c>
      <c r="F306" s="71">
        <f t="shared" si="24"/>
        <v>2506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4">
        <f t="shared" si="25"/>
        <v>2506</v>
      </c>
      <c r="R306" s="7"/>
      <c r="S306" s="4">
        <f t="shared" si="26"/>
        <v>30072</v>
      </c>
    </row>
    <row r="307" spans="1:19" ht="12" customHeight="1">
      <c r="A307" s="7"/>
      <c r="B307" s="31" t="s">
        <v>388</v>
      </c>
      <c r="C307" s="7">
        <v>4</v>
      </c>
      <c r="D307" s="7">
        <v>6</v>
      </c>
      <c r="E307" s="4">
        <v>1263</v>
      </c>
      <c r="F307" s="71">
        <f t="shared" si="24"/>
        <v>5052</v>
      </c>
      <c r="G307" s="7"/>
      <c r="H307" s="7"/>
      <c r="I307" s="4"/>
      <c r="J307" s="7"/>
      <c r="K307" s="7"/>
      <c r="L307" s="7"/>
      <c r="M307" s="7"/>
      <c r="N307" s="7"/>
      <c r="O307" s="7"/>
      <c r="P307" s="4"/>
      <c r="Q307" s="4">
        <f t="shared" si="25"/>
        <v>5052</v>
      </c>
      <c r="R307" s="7"/>
      <c r="S307" s="4">
        <f t="shared" si="26"/>
        <v>60624</v>
      </c>
    </row>
    <row r="308" spans="1:19" ht="12" customHeight="1">
      <c r="A308" s="7"/>
      <c r="B308" s="31" t="s">
        <v>202</v>
      </c>
      <c r="C308" s="7">
        <v>1</v>
      </c>
      <c r="D308" s="7">
        <v>6</v>
      </c>
      <c r="E308" s="4">
        <v>1263</v>
      </c>
      <c r="F308" s="71">
        <f t="shared" si="24"/>
        <v>1263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4">
        <f t="shared" si="25"/>
        <v>1263</v>
      </c>
      <c r="R308" s="7"/>
      <c r="S308" s="4">
        <f t="shared" si="26"/>
        <v>15156</v>
      </c>
    </row>
    <row r="309" spans="1:19" ht="12.75" customHeight="1">
      <c r="A309" s="7"/>
      <c r="B309" s="31" t="s">
        <v>429</v>
      </c>
      <c r="C309" s="7">
        <v>1</v>
      </c>
      <c r="D309" s="7">
        <v>5</v>
      </c>
      <c r="E309" s="4">
        <v>1253</v>
      </c>
      <c r="F309" s="71">
        <f t="shared" si="24"/>
        <v>1253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4">
        <f t="shared" si="25"/>
        <v>1253</v>
      </c>
      <c r="R309" s="7"/>
      <c r="S309" s="4">
        <f t="shared" si="26"/>
        <v>15036</v>
      </c>
    </row>
    <row r="310" spans="1:19" ht="12.75" customHeight="1">
      <c r="A310" s="10"/>
      <c r="B310" s="26" t="s">
        <v>40</v>
      </c>
      <c r="C310" s="10">
        <f>SUM(C302:C309)</f>
        <v>13</v>
      </c>
      <c r="D310" s="10"/>
      <c r="E310" s="10"/>
      <c r="F310" s="72">
        <f>SUM(F302:F309)</f>
        <v>17473</v>
      </c>
      <c r="G310" s="10"/>
      <c r="H310" s="10"/>
      <c r="I310" s="11"/>
      <c r="J310" s="11"/>
      <c r="K310" s="11"/>
      <c r="L310" s="11"/>
      <c r="M310" s="11"/>
      <c r="N310" s="11"/>
      <c r="O310" s="11"/>
      <c r="P310" s="11"/>
      <c r="Q310" s="11">
        <f>SUM(Q302:Q309)</f>
        <v>17473</v>
      </c>
      <c r="R310" s="11">
        <f>SUM(R302:R309)</f>
        <v>0</v>
      </c>
      <c r="S310" s="11">
        <f>SUM(S302:S309)</f>
        <v>209676</v>
      </c>
    </row>
    <row r="311" spans="1:19" ht="12.75" customHeight="1">
      <c r="A311" s="7" t="s">
        <v>10</v>
      </c>
      <c r="B311" s="2" t="s">
        <v>273</v>
      </c>
      <c r="C311" s="3"/>
      <c r="D311" s="3"/>
      <c r="E311" s="5"/>
      <c r="F311" s="73"/>
      <c r="G311" s="3"/>
      <c r="H311" s="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2.75" customHeight="1">
      <c r="A312" s="7"/>
      <c r="B312" s="31" t="s">
        <v>165</v>
      </c>
      <c r="C312" s="7">
        <v>1</v>
      </c>
      <c r="D312" s="7">
        <v>6</v>
      </c>
      <c r="E312" s="4">
        <v>1263</v>
      </c>
      <c r="F312" s="71">
        <f>E312*C312</f>
        <v>1263</v>
      </c>
      <c r="G312" s="7"/>
      <c r="H312" s="7"/>
      <c r="I312" s="4"/>
      <c r="J312" s="4"/>
      <c r="K312" s="4"/>
      <c r="L312" s="4"/>
      <c r="M312" s="4"/>
      <c r="N312" s="4"/>
      <c r="O312" s="4"/>
      <c r="P312" s="4"/>
      <c r="Q312" s="4">
        <f>E312*C312+SUM(G312:O312)</f>
        <v>1263</v>
      </c>
      <c r="R312" s="4"/>
      <c r="S312" s="4">
        <f>Q312*$R$17</f>
        <v>15156</v>
      </c>
    </row>
    <row r="313" spans="1:19" ht="12.75" customHeight="1">
      <c r="A313" s="10"/>
      <c r="B313" s="26" t="s">
        <v>40</v>
      </c>
      <c r="C313" s="10">
        <f>SUM(C311:C312)</f>
        <v>1</v>
      </c>
      <c r="D313" s="10"/>
      <c r="E313" s="10"/>
      <c r="F313" s="72">
        <f>SUM(F311:F312)</f>
        <v>1263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>
        <f>SUM(Q311:Q312)</f>
        <v>1263</v>
      </c>
      <c r="R313" s="10">
        <f>SUM(R311:R312)</f>
        <v>0</v>
      </c>
      <c r="S313" s="10">
        <f>SUM(S311:S312)</f>
        <v>15156</v>
      </c>
    </row>
    <row r="314" spans="1:19" ht="12.75" customHeight="1">
      <c r="A314" s="3" t="s">
        <v>13</v>
      </c>
      <c r="B314" s="2" t="s">
        <v>193</v>
      </c>
      <c r="C314" s="3"/>
      <c r="D314" s="3"/>
      <c r="E314" s="5"/>
      <c r="F314" s="7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</row>
    <row r="315" spans="1:19" ht="12.75" customHeight="1">
      <c r="A315" s="8"/>
      <c r="B315" s="27" t="s">
        <v>194</v>
      </c>
      <c r="C315" s="8">
        <v>1</v>
      </c>
      <c r="D315" s="8">
        <v>5</v>
      </c>
      <c r="E315" s="9">
        <v>1253</v>
      </c>
      <c r="F315" s="71">
        <f>E315*C315</f>
        <v>1253</v>
      </c>
      <c r="G315" s="8"/>
      <c r="H315" s="8"/>
      <c r="I315" s="8"/>
      <c r="J315" s="8"/>
      <c r="K315" s="8"/>
      <c r="L315" s="8"/>
      <c r="M315" s="8"/>
      <c r="N315" s="8"/>
      <c r="O315" s="8"/>
      <c r="P315" s="7"/>
      <c r="Q315" s="4">
        <f>E315*C315+SUM(G315:O315)</f>
        <v>1253</v>
      </c>
      <c r="R315" s="8"/>
      <c r="S315" s="9">
        <f>Q315*$R$17</f>
        <v>15036</v>
      </c>
    </row>
    <row r="316" spans="1:19" ht="12.75" customHeight="1">
      <c r="A316" s="8"/>
      <c r="B316" s="26" t="s">
        <v>40</v>
      </c>
      <c r="C316" s="10">
        <f>SUM(C315)</f>
        <v>1</v>
      </c>
      <c r="D316" s="10"/>
      <c r="E316" s="11"/>
      <c r="F316" s="72">
        <f>SUM(F315)</f>
        <v>1253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>
        <f>SUM(Q315)</f>
        <v>1253</v>
      </c>
      <c r="R316" s="11">
        <f>SUM(R315)</f>
        <v>0</v>
      </c>
      <c r="S316" s="11">
        <f>SUM(S315)</f>
        <v>15036</v>
      </c>
    </row>
    <row r="317" spans="1:19" ht="12.75" customHeight="1">
      <c r="A317" s="3" t="s">
        <v>19</v>
      </c>
      <c r="B317" s="2" t="s">
        <v>467</v>
      </c>
      <c r="C317" s="3"/>
      <c r="D317" s="3"/>
      <c r="E317" s="5"/>
      <c r="F317" s="7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</row>
    <row r="318" spans="1:19" ht="12.75" customHeight="1">
      <c r="A318" s="7"/>
      <c r="B318" s="31" t="s">
        <v>109</v>
      </c>
      <c r="C318" s="7">
        <v>8</v>
      </c>
      <c r="D318" s="7">
        <v>5</v>
      </c>
      <c r="E318" s="4">
        <v>1253</v>
      </c>
      <c r="F318" s="71">
        <f>E318*C318</f>
        <v>10024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4">
        <f>E318*C318+SUM(G318:O318)</f>
        <v>10024</v>
      </c>
      <c r="R318" s="7"/>
      <c r="S318" s="4">
        <f>Q318*$R$17</f>
        <v>120288</v>
      </c>
    </row>
    <row r="319" spans="1:19" ht="12.75" customHeight="1">
      <c r="A319" s="8"/>
      <c r="B319" s="27" t="s">
        <v>395</v>
      </c>
      <c r="C319" s="8">
        <v>8.5</v>
      </c>
      <c r="D319" s="8">
        <v>4</v>
      </c>
      <c r="E319" s="8">
        <v>1243</v>
      </c>
      <c r="F319" s="74">
        <f>E319*C319</f>
        <v>10565.5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4">
        <f>E319*C319+SUM(G319:O319)</f>
        <v>10565.5</v>
      </c>
      <c r="R319" s="7"/>
      <c r="S319" s="4">
        <f>Q319*$R$17</f>
        <v>126786</v>
      </c>
    </row>
    <row r="320" spans="1:19" ht="12.75" customHeight="1">
      <c r="A320" s="10"/>
      <c r="B320" s="26" t="s">
        <v>40</v>
      </c>
      <c r="C320" s="10">
        <f>SUM(C318:C319)</f>
        <v>16.5</v>
      </c>
      <c r="D320" s="10"/>
      <c r="E320" s="11"/>
      <c r="F320" s="72">
        <f>SUM(F318:F319)</f>
        <v>20589.5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>
        <f>SUM(Q318:Q319)</f>
        <v>20589.5</v>
      </c>
      <c r="R320" s="10">
        <f>SUM(R318:R319)</f>
        <v>0</v>
      </c>
      <c r="S320" s="10">
        <f>SUM(S318:S319)</f>
        <v>247074</v>
      </c>
    </row>
    <row r="321" spans="1:19" ht="12.75" customHeight="1">
      <c r="A321" s="3" t="s">
        <v>20</v>
      </c>
      <c r="B321" s="40" t="s">
        <v>111</v>
      </c>
      <c r="C321" s="3"/>
      <c r="D321" s="3"/>
      <c r="E321" s="5"/>
      <c r="F321" s="7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</row>
    <row r="322" spans="1:19" ht="12.75" customHeight="1">
      <c r="A322" s="7"/>
      <c r="B322" s="31" t="s">
        <v>96</v>
      </c>
      <c r="C322" s="7">
        <v>1</v>
      </c>
      <c r="D322" s="7">
        <v>11</v>
      </c>
      <c r="E322" s="4">
        <v>1678</v>
      </c>
      <c r="F322" s="71">
        <f>E322*C322</f>
        <v>1678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4">
        <f>E322*C322+SUM(G322:O322)</f>
        <v>1678</v>
      </c>
      <c r="R322" s="7"/>
      <c r="S322" s="4">
        <f>Q322*$R$17</f>
        <v>20136</v>
      </c>
    </row>
    <row r="323" spans="1:19" ht="12.75" customHeight="1">
      <c r="A323" s="7"/>
      <c r="B323" s="31" t="s">
        <v>46</v>
      </c>
      <c r="C323" s="7">
        <v>1</v>
      </c>
      <c r="D323" s="7">
        <v>9</v>
      </c>
      <c r="E323" s="4">
        <v>1474</v>
      </c>
      <c r="F323" s="71">
        <f>E323*C323</f>
        <v>1474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4">
        <f>E323*C323+SUM(G323:O323)</f>
        <v>1474</v>
      </c>
      <c r="R323" s="7"/>
      <c r="S323" s="4">
        <f>Q323*$R$17</f>
        <v>17688</v>
      </c>
    </row>
    <row r="324" spans="1:19" ht="12.75" customHeight="1">
      <c r="A324" s="7"/>
      <c r="B324" s="31" t="s">
        <v>55</v>
      </c>
      <c r="C324" s="7">
        <v>4</v>
      </c>
      <c r="D324" s="7">
        <v>7</v>
      </c>
      <c r="E324" s="4">
        <v>1312</v>
      </c>
      <c r="F324" s="71">
        <f>E324*C324</f>
        <v>5248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4">
        <f>E324*C324+SUM(G324:O324)</f>
        <v>5248</v>
      </c>
      <c r="R324" s="7"/>
      <c r="S324" s="4">
        <f>Q324*$R$17</f>
        <v>62976</v>
      </c>
    </row>
    <row r="325" spans="1:19" ht="12.75" customHeight="1">
      <c r="A325" s="7"/>
      <c r="B325" s="31" t="s">
        <v>281</v>
      </c>
      <c r="C325" s="7">
        <v>1</v>
      </c>
      <c r="D325" s="7">
        <v>5</v>
      </c>
      <c r="E325" s="4">
        <v>1253</v>
      </c>
      <c r="F325" s="71">
        <f>E325*C325</f>
        <v>1253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4">
        <f>E325*C325+SUM(G325:O325)</f>
        <v>1253</v>
      </c>
      <c r="R325" s="7"/>
      <c r="S325" s="4">
        <f>Q325*$R$17</f>
        <v>15036</v>
      </c>
    </row>
    <row r="326" spans="1:19" ht="24.75" customHeight="1">
      <c r="A326" s="7"/>
      <c r="B326" s="31" t="s">
        <v>373</v>
      </c>
      <c r="C326" s="7">
        <v>2</v>
      </c>
      <c r="D326" s="7">
        <v>5</v>
      </c>
      <c r="E326" s="4">
        <v>1253</v>
      </c>
      <c r="F326" s="71">
        <f>E326*C326</f>
        <v>2506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4">
        <f>E326*C326+SUM(G326:O326)</f>
        <v>2506</v>
      </c>
      <c r="R326" s="7"/>
      <c r="S326" s="4">
        <f>Q326*$R$17</f>
        <v>30072</v>
      </c>
    </row>
    <row r="327" spans="1:19" ht="36" customHeight="1">
      <c r="A327" s="7"/>
      <c r="B327" s="31" t="s">
        <v>504</v>
      </c>
      <c r="C327" s="7"/>
      <c r="D327" s="7"/>
      <c r="E327" s="7"/>
      <c r="F327" s="7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" customHeight="1">
      <c r="A328" s="7"/>
      <c r="B328" s="31" t="s">
        <v>212</v>
      </c>
      <c r="C328" s="7">
        <f>7+1</f>
        <v>8</v>
      </c>
      <c r="D328" s="7">
        <v>2</v>
      </c>
      <c r="E328" s="7">
        <v>1223</v>
      </c>
      <c r="F328" s="71">
        <f aca="true" t="shared" si="27" ref="F328:F333">E328*C328</f>
        <v>9784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4">
        <f aca="true" t="shared" si="28" ref="Q328:Q333">E328*C328+SUM(G328:O328)</f>
        <v>9784</v>
      </c>
      <c r="R328" s="7"/>
      <c r="S328" s="4">
        <f aca="true" t="shared" si="29" ref="S328:S333">Q328*$R$17</f>
        <v>117408</v>
      </c>
    </row>
    <row r="329" spans="1:19" ht="12" customHeight="1">
      <c r="A329" s="7"/>
      <c r="B329" s="121" t="s">
        <v>213</v>
      </c>
      <c r="C329" s="7">
        <f>7.5+1</f>
        <v>8.5</v>
      </c>
      <c r="D329" s="7">
        <v>2</v>
      </c>
      <c r="E329" s="7">
        <v>1223</v>
      </c>
      <c r="F329" s="71">
        <f t="shared" si="27"/>
        <v>10395.5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4">
        <f t="shared" si="28"/>
        <v>10395.5</v>
      </c>
      <c r="R329" s="7"/>
      <c r="S329" s="4">
        <f t="shared" si="29"/>
        <v>124746</v>
      </c>
    </row>
    <row r="330" spans="1:19" ht="12" customHeight="1">
      <c r="A330" s="7"/>
      <c r="B330" s="121" t="s">
        <v>214</v>
      </c>
      <c r="C330" s="7">
        <f>1+1</f>
        <v>2</v>
      </c>
      <c r="D330" s="7">
        <v>2</v>
      </c>
      <c r="E330" s="7">
        <v>1223</v>
      </c>
      <c r="F330" s="71">
        <f t="shared" si="27"/>
        <v>2446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4">
        <f t="shared" si="28"/>
        <v>2446</v>
      </c>
      <c r="R330" s="7"/>
      <c r="S330" s="4">
        <f t="shared" si="29"/>
        <v>29352</v>
      </c>
    </row>
    <row r="331" spans="1:19" ht="24" customHeight="1">
      <c r="A331" s="7"/>
      <c r="B331" s="31" t="s">
        <v>505</v>
      </c>
      <c r="C331" s="7">
        <v>1</v>
      </c>
      <c r="D331" s="7">
        <v>2</v>
      </c>
      <c r="E331" s="7">
        <v>1223</v>
      </c>
      <c r="F331" s="71">
        <f t="shared" si="27"/>
        <v>1223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4">
        <f t="shared" si="28"/>
        <v>1223</v>
      </c>
      <c r="R331" s="7"/>
      <c r="S331" s="4">
        <f t="shared" si="29"/>
        <v>14676</v>
      </c>
    </row>
    <row r="332" spans="1:19" ht="36" customHeight="1">
      <c r="A332" s="7"/>
      <c r="B332" s="31" t="s">
        <v>489</v>
      </c>
      <c r="C332" s="7">
        <v>8</v>
      </c>
      <c r="D332" s="7">
        <v>2</v>
      </c>
      <c r="E332" s="7">
        <v>1223</v>
      </c>
      <c r="F332" s="71">
        <f t="shared" si="27"/>
        <v>9784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4">
        <f t="shared" si="28"/>
        <v>9784</v>
      </c>
      <c r="R332" s="7"/>
      <c r="S332" s="4">
        <f t="shared" si="29"/>
        <v>117408</v>
      </c>
    </row>
    <row r="333" spans="1:19" ht="12" customHeight="1">
      <c r="A333" s="7"/>
      <c r="B333" s="27" t="s">
        <v>358</v>
      </c>
      <c r="C333" s="8">
        <v>5</v>
      </c>
      <c r="D333" s="7">
        <v>1</v>
      </c>
      <c r="E333" s="7">
        <v>1218</v>
      </c>
      <c r="F333" s="71">
        <f t="shared" si="27"/>
        <v>6090</v>
      </c>
      <c r="G333" s="8"/>
      <c r="H333" s="8"/>
      <c r="I333" s="8"/>
      <c r="J333" s="8"/>
      <c r="K333" s="8"/>
      <c r="L333" s="8"/>
      <c r="M333" s="8"/>
      <c r="N333" s="8"/>
      <c r="O333" s="8"/>
      <c r="P333" s="7"/>
      <c r="Q333" s="4">
        <f t="shared" si="28"/>
        <v>6090</v>
      </c>
      <c r="R333" s="7"/>
      <c r="S333" s="4">
        <f t="shared" si="29"/>
        <v>73080</v>
      </c>
    </row>
    <row r="334" spans="1:19" ht="12" customHeight="1">
      <c r="A334" s="10"/>
      <c r="B334" s="26" t="s">
        <v>40</v>
      </c>
      <c r="C334" s="10">
        <f>SUM(C322:C333)</f>
        <v>41.5</v>
      </c>
      <c r="D334" s="10"/>
      <c r="E334" s="10"/>
      <c r="F334" s="72">
        <f>SUM(F322:F333)</f>
        <v>51881.5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>
        <f>SUM(Q322:Q333)</f>
        <v>51881.5</v>
      </c>
      <c r="R334" s="10">
        <f>SUM(R322:R333)</f>
        <v>0</v>
      </c>
      <c r="S334" s="10">
        <f>SUM(S322:S333)</f>
        <v>622578</v>
      </c>
    </row>
    <row r="335" spans="1:19" ht="12" customHeight="1">
      <c r="A335" s="3" t="s">
        <v>21</v>
      </c>
      <c r="B335" s="2" t="s">
        <v>385</v>
      </c>
      <c r="C335" s="3"/>
      <c r="D335" s="3"/>
      <c r="E335" s="5"/>
      <c r="F335" s="7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</row>
    <row r="336" spans="1:19" ht="12" customHeight="1">
      <c r="A336" s="7"/>
      <c r="B336" s="31" t="s">
        <v>96</v>
      </c>
      <c r="C336" s="7">
        <v>1</v>
      </c>
      <c r="D336" s="7">
        <v>9</v>
      </c>
      <c r="E336" s="4">
        <v>1474</v>
      </c>
      <c r="F336" s="71">
        <f>E336*C336</f>
        <v>1474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4">
        <f>E336*C336+SUM(G336:O336)</f>
        <v>1474</v>
      </c>
      <c r="R336" s="7"/>
      <c r="S336" s="4">
        <f>Q336*$R$17</f>
        <v>17688</v>
      </c>
    </row>
    <row r="337" spans="1:19" ht="12" customHeight="1">
      <c r="A337" s="7"/>
      <c r="B337" s="31" t="s">
        <v>490</v>
      </c>
      <c r="C337" s="7">
        <v>1</v>
      </c>
      <c r="D337" s="7">
        <v>7</v>
      </c>
      <c r="E337" s="4">
        <v>1312</v>
      </c>
      <c r="F337" s="71">
        <f>E337*C337</f>
        <v>1312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4">
        <f>E337*C337+SUM(G337:O337)</f>
        <v>1312</v>
      </c>
      <c r="R337" s="7"/>
      <c r="S337" s="4">
        <f>Q337*$R$17</f>
        <v>15744</v>
      </c>
    </row>
    <row r="338" spans="1:19" ht="12" customHeight="1">
      <c r="A338" s="7"/>
      <c r="B338" s="31" t="s">
        <v>113</v>
      </c>
      <c r="C338" s="7">
        <v>1</v>
      </c>
      <c r="D338" s="7">
        <v>5</v>
      </c>
      <c r="E338" s="4">
        <v>1253</v>
      </c>
      <c r="F338" s="71">
        <f>E338*C338</f>
        <v>1253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4">
        <f>E338*C338+SUM(G338:O338)</f>
        <v>1253</v>
      </c>
      <c r="R338" s="7"/>
      <c r="S338" s="4">
        <f>Q338*$R$17</f>
        <v>15036</v>
      </c>
    </row>
    <row r="339" spans="1:19" ht="12" customHeight="1">
      <c r="A339" s="8"/>
      <c r="B339" s="27" t="s">
        <v>114</v>
      </c>
      <c r="C339" s="8">
        <v>1</v>
      </c>
      <c r="D339" s="8">
        <v>1</v>
      </c>
      <c r="E339" s="9">
        <v>1218</v>
      </c>
      <c r="F339" s="71">
        <f>E339*C339</f>
        <v>1218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4">
        <f>E339*C339+SUM(G339:O339)</f>
        <v>1218</v>
      </c>
      <c r="R339" s="7"/>
      <c r="S339" s="4">
        <f>Q339*$R$17</f>
        <v>14616</v>
      </c>
    </row>
    <row r="340" spans="1:19" ht="12" customHeight="1">
      <c r="A340" s="10"/>
      <c r="B340" s="26" t="s">
        <v>40</v>
      </c>
      <c r="C340" s="10">
        <f>SUM(C336:C339)</f>
        <v>4</v>
      </c>
      <c r="D340" s="10"/>
      <c r="E340" s="11"/>
      <c r="F340" s="72">
        <f>SUM(F336:F339)</f>
        <v>5257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>
        <f>SUM(Q336:Q339)</f>
        <v>5257</v>
      </c>
      <c r="R340" s="11">
        <f>SUM(R336:R339)</f>
        <v>0</v>
      </c>
      <c r="S340" s="11">
        <f>SUM(S336:S339)</f>
        <v>63084</v>
      </c>
    </row>
    <row r="341" spans="1:19" ht="12" customHeight="1">
      <c r="A341" s="3" t="s">
        <v>22</v>
      </c>
      <c r="B341" s="2" t="s">
        <v>115</v>
      </c>
      <c r="C341" s="3"/>
      <c r="D341" s="3"/>
      <c r="E341" s="5"/>
      <c r="F341" s="7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</row>
    <row r="342" spans="1:19" ht="12" customHeight="1">
      <c r="A342" s="7"/>
      <c r="B342" s="31" t="s">
        <v>116</v>
      </c>
      <c r="C342" s="7">
        <v>1</v>
      </c>
      <c r="D342" s="54"/>
      <c r="E342" s="4">
        <f>(1678+1806)/2</f>
        <v>1742</v>
      </c>
      <c r="F342" s="57">
        <f>E342*C342</f>
        <v>1742</v>
      </c>
      <c r="G342" s="4"/>
      <c r="H342" s="7"/>
      <c r="I342" s="7"/>
      <c r="J342" s="7"/>
      <c r="K342" s="7"/>
      <c r="L342" s="7"/>
      <c r="M342" s="7"/>
      <c r="N342" s="7"/>
      <c r="O342" s="7"/>
      <c r="P342" s="7"/>
      <c r="Q342" s="4">
        <f>E342*C342+SUM(G342:O342)</f>
        <v>1742</v>
      </c>
      <c r="R342" s="7"/>
      <c r="S342" s="4">
        <f>Q342*$R$17</f>
        <v>20904</v>
      </c>
    </row>
    <row r="343" spans="1:19" ht="12" customHeight="1">
      <c r="A343" s="7"/>
      <c r="B343" s="31" t="s">
        <v>266</v>
      </c>
      <c r="C343" s="7">
        <v>1</v>
      </c>
      <c r="D343" s="7">
        <v>9</v>
      </c>
      <c r="E343" s="4">
        <v>1474</v>
      </c>
      <c r="F343" s="71">
        <f>E343*C343</f>
        <v>1474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4">
        <f>E343*C343+SUM(G343:O343)</f>
        <v>1474</v>
      </c>
      <c r="R343" s="7"/>
      <c r="S343" s="4">
        <f>Q343*$R$17</f>
        <v>17688</v>
      </c>
    </row>
    <row r="344" spans="1:19" ht="12" customHeight="1">
      <c r="A344" s="7"/>
      <c r="B344" s="31" t="s">
        <v>491</v>
      </c>
      <c r="C344" s="7">
        <v>6</v>
      </c>
      <c r="D344" s="7">
        <v>5</v>
      </c>
      <c r="E344" s="4">
        <v>1253</v>
      </c>
      <c r="F344" s="71">
        <f>E344*C344</f>
        <v>7518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4">
        <f>E344*C344+SUM(G344:O344)</f>
        <v>7518</v>
      </c>
      <c r="R344" s="7"/>
      <c r="S344" s="4">
        <f>Q344*$R$17</f>
        <v>90216</v>
      </c>
    </row>
    <row r="345" spans="1:19" ht="12" customHeight="1">
      <c r="A345" s="7"/>
      <c r="B345" s="31" t="s">
        <v>117</v>
      </c>
      <c r="C345" s="7">
        <v>1</v>
      </c>
      <c r="D345" s="7">
        <v>4</v>
      </c>
      <c r="E345" s="4">
        <v>1243</v>
      </c>
      <c r="F345" s="71">
        <f>E345*C345</f>
        <v>1243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4">
        <f>E345*C345+SUM(G345:O345)</f>
        <v>1243</v>
      </c>
      <c r="R345" s="7"/>
      <c r="S345" s="4">
        <f>Q345*$R$17</f>
        <v>14916</v>
      </c>
    </row>
    <row r="346" spans="1:19" ht="12" customHeight="1">
      <c r="A346" s="8"/>
      <c r="B346" s="27" t="s">
        <v>356</v>
      </c>
      <c r="C346" s="8">
        <v>1</v>
      </c>
      <c r="D346" s="8">
        <v>4</v>
      </c>
      <c r="E346" s="8">
        <v>1243</v>
      </c>
      <c r="F346" s="71">
        <f>E346*C346</f>
        <v>1243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4">
        <f>E346*C346+SUM(G346:O346)</f>
        <v>1243</v>
      </c>
      <c r="R346" s="7"/>
      <c r="S346" s="4">
        <f>Q346*$R$17</f>
        <v>14916</v>
      </c>
    </row>
    <row r="347" spans="1:19" ht="12" customHeight="1">
      <c r="A347" s="10"/>
      <c r="B347" s="26" t="s">
        <v>40</v>
      </c>
      <c r="C347" s="10">
        <f>SUM(C342:C346)</f>
        <v>10</v>
      </c>
      <c r="D347" s="10"/>
      <c r="E347" s="10"/>
      <c r="F347" s="72">
        <f>SUM(F342:F346)</f>
        <v>13220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>
        <f>SUM(Q342:Q346)</f>
        <v>13220</v>
      </c>
      <c r="R347" s="10">
        <f>SUM(R342:R346)</f>
        <v>0</v>
      </c>
      <c r="S347" s="10">
        <f>SUM(S342:S346)</f>
        <v>158640</v>
      </c>
    </row>
    <row r="348" spans="1:19" ht="12.75" customHeight="1">
      <c r="A348" s="3" t="s">
        <v>23</v>
      </c>
      <c r="B348" s="2" t="s">
        <v>118</v>
      </c>
      <c r="C348" s="3"/>
      <c r="D348" s="3"/>
      <c r="E348" s="5"/>
      <c r="F348" s="7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</row>
    <row r="349" spans="1:19" ht="12.75" customHeight="1">
      <c r="A349" s="7"/>
      <c r="B349" s="31" t="s">
        <v>96</v>
      </c>
      <c r="C349" s="7">
        <v>1</v>
      </c>
      <c r="D349" s="7">
        <v>13</v>
      </c>
      <c r="E349" s="4">
        <v>1934</v>
      </c>
      <c r="F349" s="71">
        <f>E349*C349</f>
        <v>1934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4">
        <f>E349*C349+SUM(G349:O349)</f>
        <v>1934</v>
      </c>
      <c r="R349" s="7"/>
      <c r="S349" s="4">
        <f>Q349*$R$17</f>
        <v>23208</v>
      </c>
    </row>
    <row r="350" spans="1:19" ht="12.75" customHeight="1">
      <c r="A350" s="7"/>
      <c r="B350" s="31" t="s">
        <v>191</v>
      </c>
      <c r="C350" s="7">
        <v>2</v>
      </c>
      <c r="D350" s="7">
        <v>10</v>
      </c>
      <c r="E350" s="4">
        <v>1551</v>
      </c>
      <c r="F350" s="71">
        <f>E350*C350</f>
        <v>3102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4">
        <f>E350*C350+SUM(G350:O350)</f>
        <v>3102</v>
      </c>
      <c r="R350" s="7"/>
      <c r="S350" s="4">
        <f>Q350*$R$17</f>
        <v>37224</v>
      </c>
    </row>
    <row r="351" spans="1:19" ht="12.75" customHeight="1">
      <c r="A351" s="7"/>
      <c r="B351" s="31" t="s">
        <v>550</v>
      </c>
      <c r="C351" s="7">
        <v>1</v>
      </c>
      <c r="D351" s="7">
        <v>9</v>
      </c>
      <c r="E351" s="4">
        <v>1474</v>
      </c>
      <c r="F351" s="71">
        <f>E351*C351</f>
        <v>1474</v>
      </c>
      <c r="G351" s="7"/>
      <c r="H351" s="4"/>
      <c r="I351" s="4"/>
      <c r="J351" s="7"/>
      <c r="K351" s="7"/>
      <c r="L351" s="7"/>
      <c r="M351" s="7"/>
      <c r="N351" s="7"/>
      <c r="O351" s="7"/>
      <c r="P351" s="7"/>
      <c r="Q351" s="4">
        <f>E351*C351+SUM(G351:O351)</f>
        <v>1474</v>
      </c>
      <c r="R351" s="7"/>
      <c r="S351" s="4">
        <f>Q351*$R$17</f>
        <v>17688</v>
      </c>
    </row>
    <row r="352" spans="1:19" ht="12.75" customHeight="1">
      <c r="A352" s="10"/>
      <c r="B352" s="26" t="s">
        <v>40</v>
      </c>
      <c r="C352" s="10">
        <f>SUM(C349:C351)</f>
        <v>4</v>
      </c>
      <c r="D352" s="10"/>
      <c r="E352" s="11"/>
      <c r="F352" s="72">
        <f>SUM(F349:F351)</f>
        <v>6510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>
        <f>SUM(Q349:Q351)</f>
        <v>6510</v>
      </c>
      <c r="R352" s="11">
        <f>SUM(R349:R351)</f>
        <v>0</v>
      </c>
      <c r="S352" s="11">
        <f>SUM(S349:S351)</f>
        <v>78120</v>
      </c>
    </row>
    <row r="353" spans="1:19" ht="12.75" customHeight="1">
      <c r="A353" s="3" t="s">
        <v>25</v>
      </c>
      <c r="B353" s="2" t="s">
        <v>334</v>
      </c>
      <c r="C353" s="3"/>
      <c r="D353" s="3"/>
      <c r="E353" s="5"/>
      <c r="F353" s="7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 customHeight="1">
      <c r="A354" s="7"/>
      <c r="B354" s="31" t="s">
        <v>450</v>
      </c>
      <c r="C354" s="7">
        <v>1</v>
      </c>
      <c r="D354" s="7"/>
      <c r="E354" s="4">
        <v>3344</v>
      </c>
      <c r="F354" s="71">
        <f aca="true" t="shared" si="30" ref="F354:F360">E354*C354</f>
        <v>3344</v>
      </c>
      <c r="G354" s="4"/>
      <c r="H354" s="7"/>
      <c r="I354" s="7"/>
      <c r="J354" s="7"/>
      <c r="K354" s="7"/>
      <c r="L354" s="7"/>
      <c r="M354" s="7"/>
      <c r="N354" s="7"/>
      <c r="O354" s="7"/>
      <c r="P354" s="7"/>
      <c r="Q354" s="4">
        <f aca="true" t="shared" si="31" ref="Q354:Q360">E354*C354+SUM(G354:O354)</f>
        <v>3344</v>
      </c>
      <c r="R354" s="4"/>
      <c r="S354" s="4">
        <f aca="true" t="shared" si="32" ref="S354:S360">Q354*$R$17</f>
        <v>40128</v>
      </c>
    </row>
    <row r="355" spans="1:19" ht="12.75" customHeight="1">
      <c r="A355" s="7"/>
      <c r="B355" s="31" t="s">
        <v>492</v>
      </c>
      <c r="C355" s="7">
        <v>2</v>
      </c>
      <c r="D355" s="7"/>
      <c r="E355" s="4">
        <v>3177</v>
      </c>
      <c r="F355" s="71">
        <f t="shared" si="30"/>
        <v>6354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4">
        <f t="shared" si="31"/>
        <v>6354</v>
      </c>
      <c r="R355" s="7"/>
      <c r="S355" s="4">
        <f t="shared" si="32"/>
        <v>76248</v>
      </c>
    </row>
    <row r="356" spans="1:19" ht="12.75" customHeight="1">
      <c r="A356" s="7"/>
      <c r="B356" s="31" t="s">
        <v>119</v>
      </c>
      <c r="C356" s="7">
        <v>5</v>
      </c>
      <c r="D356" s="7">
        <v>10</v>
      </c>
      <c r="E356" s="4">
        <v>1551</v>
      </c>
      <c r="F356" s="71">
        <f t="shared" si="30"/>
        <v>7755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4">
        <f t="shared" si="31"/>
        <v>7755</v>
      </c>
      <c r="R356" s="7"/>
      <c r="S356" s="4">
        <f t="shared" si="32"/>
        <v>93060</v>
      </c>
    </row>
    <row r="357" spans="1:19" ht="12.75" customHeight="1">
      <c r="A357" s="7"/>
      <c r="B357" s="31" t="s">
        <v>246</v>
      </c>
      <c r="C357" s="7">
        <v>1</v>
      </c>
      <c r="D357" s="7">
        <v>9</v>
      </c>
      <c r="E357" s="4">
        <v>1474</v>
      </c>
      <c r="F357" s="71">
        <f t="shared" si="30"/>
        <v>1474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4">
        <f t="shared" si="31"/>
        <v>1474</v>
      </c>
      <c r="R357" s="7"/>
      <c r="S357" s="4">
        <f t="shared" si="32"/>
        <v>17688</v>
      </c>
    </row>
    <row r="358" spans="1:19" ht="12.75" customHeight="1">
      <c r="A358" s="7"/>
      <c r="B358" s="31" t="s">
        <v>267</v>
      </c>
      <c r="C358" s="7">
        <v>2</v>
      </c>
      <c r="D358" s="7">
        <v>8</v>
      </c>
      <c r="E358" s="4">
        <v>1397</v>
      </c>
      <c r="F358" s="71">
        <f t="shared" si="30"/>
        <v>2794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4">
        <f t="shared" si="31"/>
        <v>2794</v>
      </c>
      <c r="R358" s="7"/>
      <c r="S358" s="4">
        <f t="shared" si="32"/>
        <v>33528</v>
      </c>
    </row>
    <row r="359" spans="1:19" ht="12.75" customHeight="1">
      <c r="A359" s="7"/>
      <c r="B359" s="31" t="s">
        <v>268</v>
      </c>
      <c r="C359" s="7">
        <v>4.5</v>
      </c>
      <c r="D359" s="7">
        <v>7</v>
      </c>
      <c r="E359" s="4">
        <v>1312</v>
      </c>
      <c r="F359" s="71">
        <f t="shared" si="30"/>
        <v>5904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4">
        <f t="shared" si="31"/>
        <v>5904</v>
      </c>
      <c r="R359" s="7"/>
      <c r="S359" s="4">
        <f t="shared" si="32"/>
        <v>70848</v>
      </c>
    </row>
    <row r="360" spans="1:19" ht="12.75" customHeight="1">
      <c r="A360" s="7"/>
      <c r="B360" s="31" t="s">
        <v>269</v>
      </c>
      <c r="C360" s="7">
        <v>0.5</v>
      </c>
      <c r="D360" s="7">
        <v>5</v>
      </c>
      <c r="E360" s="4">
        <v>1253</v>
      </c>
      <c r="F360" s="113">
        <f t="shared" si="30"/>
        <v>626.5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4">
        <f t="shared" si="31"/>
        <v>626.5</v>
      </c>
      <c r="R360" s="7"/>
      <c r="S360" s="4">
        <f t="shared" si="32"/>
        <v>7518</v>
      </c>
    </row>
    <row r="361" spans="1:19" ht="12.75" customHeight="1">
      <c r="A361" s="10"/>
      <c r="B361" s="26" t="s">
        <v>40</v>
      </c>
      <c r="C361" s="10">
        <f>SUM(C354:C360)</f>
        <v>16</v>
      </c>
      <c r="D361" s="10"/>
      <c r="E361" s="10"/>
      <c r="F361" s="72">
        <f>SUM(F354:F360)</f>
        <v>28251.5</v>
      </c>
      <c r="G361" s="11"/>
      <c r="H361" s="10"/>
      <c r="I361" s="10"/>
      <c r="J361" s="10"/>
      <c r="K361" s="10"/>
      <c r="L361" s="10"/>
      <c r="M361" s="10"/>
      <c r="N361" s="10"/>
      <c r="O361" s="10"/>
      <c r="P361" s="10"/>
      <c r="Q361" s="10">
        <f>SUM(Q354:Q360)</f>
        <v>28251.5</v>
      </c>
      <c r="R361" s="10">
        <f>SUM(R354:R360)</f>
        <v>0</v>
      </c>
      <c r="S361" s="10">
        <f>SUM(S354:S360)</f>
        <v>339018</v>
      </c>
    </row>
    <row r="362" spans="1:19" ht="12.75" customHeight="1">
      <c r="A362" s="3" t="s">
        <v>26</v>
      </c>
      <c r="B362" s="2" t="s">
        <v>120</v>
      </c>
      <c r="C362" s="3"/>
      <c r="D362" s="3"/>
      <c r="E362" s="5"/>
      <c r="F362" s="7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</row>
    <row r="363" spans="1:19" ht="12.75" customHeight="1">
      <c r="A363" s="7"/>
      <c r="B363" s="31" t="s">
        <v>121</v>
      </c>
      <c r="C363" s="7">
        <v>1</v>
      </c>
      <c r="D363" s="7">
        <v>9</v>
      </c>
      <c r="E363" s="4">
        <v>1474</v>
      </c>
      <c r="F363" s="71">
        <f>E363*C363</f>
        <v>1474</v>
      </c>
      <c r="G363" s="7"/>
      <c r="H363" s="4"/>
      <c r="I363" s="4"/>
      <c r="J363" s="4"/>
      <c r="K363" s="4"/>
      <c r="L363" s="7"/>
      <c r="M363" s="7"/>
      <c r="N363" s="7"/>
      <c r="O363" s="7"/>
      <c r="P363" s="7"/>
      <c r="Q363" s="4">
        <f>E363*C363+SUM(G363:O363)</f>
        <v>1474</v>
      </c>
      <c r="R363" s="4"/>
      <c r="S363" s="4">
        <f>Q363*$R$17</f>
        <v>17688</v>
      </c>
    </row>
    <row r="364" spans="1:19" ht="12.75" customHeight="1">
      <c r="A364" s="7"/>
      <c r="B364" s="31" t="s">
        <v>164</v>
      </c>
      <c r="C364" s="7">
        <v>2</v>
      </c>
      <c r="D364" s="7">
        <v>5</v>
      </c>
      <c r="E364" s="4">
        <v>1253</v>
      </c>
      <c r="F364" s="71">
        <f>E364*C364</f>
        <v>2506</v>
      </c>
      <c r="G364" s="7"/>
      <c r="H364" s="4"/>
      <c r="I364" s="4"/>
      <c r="J364" s="4"/>
      <c r="K364" s="4"/>
      <c r="L364" s="7"/>
      <c r="M364" s="7"/>
      <c r="N364" s="7"/>
      <c r="O364" s="7"/>
      <c r="P364" s="7"/>
      <c r="Q364" s="4">
        <f>E364*C364+SUM(G364:O364)</f>
        <v>2506</v>
      </c>
      <c r="R364" s="4"/>
      <c r="S364" s="4">
        <f>Q364*$R$17</f>
        <v>30072</v>
      </c>
    </row>
    <row r="365" spans="1:19" ht="12.75" customHeight="1">
      <c r="A365" s="8"/>
      <c r="B365" s="27" t="s">
        <v>122</v>
      </c>
      <c r="C365" s="8">
        <v>1</v>
      </c>
      <c r="D365" s="8">
        <v>4</v>
      </c>
      <c r="E365" s="9">
        <v>1243</v>
      </c>
      <c r="F365" s="71">
        <f>E365*C365</f>
        <v>1243</v>
      </c>
      <c r="G365" s="8"/>
      <c r="H365" s="9"/>
      <c r="I365" s="9"/>
      <c r="J365" s="9"/>
      <c r="K365" s="9"/>
      <c r="L365" s="8"/>
      <c r="M365" s="8"/>
      <c r="N365" s="8"/>
      <c r="O365" s="8"/>
      <c r="P365" s="7"/>
      <c r="Q365" s="4">
        <f>E365*C365+SUM(G365:O365)</f>
        <v>1243</v>
      </c>
      <c r="R365" s="4"/>
      <c r="S365" s="4">
        <f>Q365*$R$17</f>
        <v>14916</v>
      </c>
    </row>
    <row r="366" spans="1:19" ht="12.75" customHeight="1">
      <c r="A366" s="10"/>
      <c r="B366" s="26" t="s">
        <v>40</v>
      </c>
      <c r="C366" s="10">
        <f>SUM(C363:C365)</f>
        <v>4</v>
      </c>
      <c r="D366" s="10"/>
      <c r="E366" s="11"/>
      <c r="F366" s="72">
        <f>SUM(F363:F365)</f>
        <v>5223</v>
      </c>
      <c r="G366" s="11"/>
      <c r="H366" s="10"/>
      <c r="I366" s="10"/>
      <c r="J366" s="10"/>
      <c r="K366" s="10"/>
      <c r="L366" s="10"/>
      <c r="M366" s="10"/>
      <c r="N366" s="10"/>
      <c r="O366" s="10"/>
      <c r="P366" s="10"/>
      <c r="Q366" s="11">
        <f>SUM(Q363:Q365)</f>
        <v>5223</v>
      </c>
      <c r="R366" s="11">
        <f>SUM(R363:R365)</f>
        <v>0</v>
      </c>
      <c r="S366" s="11">
        <f>SUM(S363:S365)</f>
        <v>62676</v>
      </c>
    </row>
    <row r="367" spans="1:19" ht="12.75" customHeight="1">
      <c r="A367" s="3" t="s">
        <v>28</v>
      </c>
      <c r="B367" s="2" t="s">
        <v>351</v>
      </c>
      <c r="C367" s="3"/>
      <c r="D367" s="3"/>
      <c r="E367" s="5"/>
      <c r="F367" s="7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 customHeight="1">
      <c r="A368" s="7"/>
      <c r="B368" s="31" t="s">
        <v>96</v>
      </c>
      <c r="C368" s="7">
        <v>1</v>
      </c>
      <c r="D368" s="7">
        <v>10</v>
      </c>
      <c r="E368" s="4">
        <v>1551</v>
      </c>
      <c r="F368" s="71">
        <f aca="true" t="shared" si="33" ref="F368:F376">E368*C368</f>
        <v>1551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4">
        <f aca="true" t="shared" si="34" ref="Q368:Q376">E368*C368+SUM(G368:O368)</f>
        <v>1551</v>
      </c>
      <c r="R368" s="7"/>
      <c r="S368" s="4">
        <f aca="true" t="shared" si="35" ref="S368:S376">Q368*$R$17</f>
        <v>18612</v>
      </c>
    </row>
    <row r="369" spans="1:19" ht="12.75" customHeight="1">
      <c r="A369" s="7"/>
      <c r="B369" s="31" t="s">
        <v>506</v>
      </c>
      <c r="C369" s="7">
        <v>1</v>
      </c>
      <c r="D369" s="7">
        <v>7</v>
      </c>
      <c r="E369" s="4">
        <v>1312</v>
      </c>
      <c r="F369" s="71">
        <f t="shared" si="33"/>
        <v>1312</v>
      </c>
      <c r="G369" s="7"/>
      <c r="H369" s="7"/>
      <c r="I369" s="4">
        <f>E369*C369*0.2</f>
        <v>262.40000000000003</v>
      </c>
      <c r="J369" s="4"/>
      <c r="K369" s="4"/>
      <c r="L369" s="4"/>
      <c r="M369" s="4"/>
      <c r="N369" s="4"/>
      <c r="O369" s="4"/>
      <c r="P369" s="4">
        <f>SUM(G369:O369)</f>
        <v>262.40000000000003</v>
      </c>
      <c r="Q369" s="4">
        <f t="shared" si="34"/>
        <v>1574.4</v>
      </c>
      <c r="R369" s="4"/>
      <c r="S369" s="4">
        <f t="shared" si="35"/>
        <v>18892.800000000003</v>
      </c>
    </row>
    <row r="370" spans="1:19" ht="12.75" customHeight="1">
      <c r="A370" s="7"/>
      <c r="B370" s="31" t="s">
        <v>491</v>
      </c>
      <c r="C370" s="7">
        <v>1</v>
      </c>
      <c r="D370" s="7">
        <v>6</v>
      </c>
      <c r="E370" s="7">
        <v>1263</v>
      </c>
      <c r="F370" s="71">
        <f t="shared" si="33"/>
        <v>1263</v>
      </c>
      <c r="G370" s="7"/>
      <c r="H370" s="7"/>
      <c r="I370" s="4"/>
      <c r="J370" s="4"/>
      <c r="K370" s="4"/>
      <c r="L370" s="4"/>
      <c r="M370" s="4"/>
      <c r="N370" s="4"/>
      <c r="O370" s="4"/>
      <c r="P370" s="4"/>
      <c r="Q370" s="4">
        <f t="shared" si="34"/>
        <v>1263</v>
      </c>
      <c r="R370" s="4"/>
      <c r="S370" s="4">
        <f t="shared" si="35"/>
        <v>15156</v>
      </c>
    </row>
    <row r="371" spans="1:19" ht="12.75" customHeight="1">
      <c r="A371" s="7"/>
      <c r="B371" s="55" t="s">
        <v>498</v>
      </c>
      <c r="C371" s="7">
        <v>1</v>
      </c>
      <c r="D371" s="7">
        <v>5</v>
      </c>
      <c r="E371" s="4">
        <v>1253</v>
      </c>
      <c r="F371" s="71">
        <f t="shared" si="33"/>
        <v>1253</v>
      </c>
      <c r="G371" s="7"/>
      <c r="H371" s="7"/>
      <c r="I371" s="4"/>
      <c r="J371" s="4"/>
      <c r="K371" s="4"/>
      <c r="L371" s="4"/>
      <c r="M371" s="4"/>
      <c r="N371" s="4"/>
      <c r="O371" s="4"/>
      <c r="P371" s="4"/>
      <c r="Q371" s="4">
        <f t="shared" si="34"/>
        <v>1253</v>
      </c>
      <c r="R371" s="4"/>
      <c r="S371" s="4">
        <f t="shared" si="35"/>
        <v>15036</v>
      </c>
    </row>
    <row r="372" spans="1:19" ht="12.75" customHeight="1">
      <c r="A372" s="7"/>
      <c r="B372" s="31" t="s">
        <v>352</v>
      </c>
      <c r="C372" s="7">
        <v>1.5</v>
      </c>
      <c r="D372" s="7">
        <v>4</v>
      </c>
      <c r="E372" s="4">
        <v>1243</v>
      </c>
      <c r="F372" s="71">
        <f t="shared" si="33"/>
        <v>1864.5</v>
      </c>
      <c r="G372" s="7"/>
      <c r="H372" s="7"/>
      <c r="I372" s="4"/>
      <c r="J372" s="4"/>
      <c r="K372" s="4"/>
      <c r="L372" s="4"/>
      <c r="M372" s="4"/>
      <c r="N372" s="4"/>
      <c r="O372" s="4"/>
      <c r="P372" s="4"/>
      <c r="Q372" s="4">
        <f t="shared" si="34"/>
        <v>1864.5</v>
      </c>
      <c r="R372" s="4"/>
      <c r="S372" s="4">
        <f t="shared" si="35"/>
        <v>22374</v>
      </c>
    </row>
    <row r="373" spans="1:19" ht="12.75" customHeight="1">
      <c r="A373" s="7"/>
      <c r="B373" s="31" t="s">
        <v>353</v>
      </c>
      <c r="C373" s="7">
        <v>1</v>
      </c>
      <c r="D373" s="7">
        <v>4</v>
      </c>
      <c r="E373" s="4">
        <v>1243</v>
      </c>
      <c r="F373" s="71">
        <f t="shared" si="33"/>
        <v>1243</v>
      </c>
      <c r="G373" s="7"/>
      <c r="H373" s="7"/>
      <c r="I373" s="4"/>
      <c r="J373" s="4"/>
      <c r="K373" s="4"/>
      <c r="L373" s="4"/>
      <c r="M373" s="4"/>
      <c r="N373" s="4"/>
      <c r="O373" s="4"/>
      <c r="P373" s="4"/>
      <c r="Q373" s="4">
        <f t="shared" si="34"/>
        <v>1243</v>
      </c>
      <c r="R373" s="4"/>
      <c r="S373" s="4">
        <f t="shared" si="35"/>
        <v>14916</v>
      </c>
    </row>
    <row r="374" spans="1:19" ht="12.75" customHeight="1">
      <c r="A374" s="7"/>
      <c r="B374" s="31" t="s">
        <v>357</v>
      </c>
      <c r="C374" s="7">
        <v>1</v>
      </c>
      <c r="D374" s="7">
        <v>4</v>
      </c>
      <c r="E374" s="7">
        <v>1243</v>
      </c>
      <c r="F374" s="71">
        <f t="shared" si="33"/>
        <v>1243</v>
      </c>
      <c r="G374" s="7"/>
      <c r="H374" s="7"/>
      <c r="I374" s="4">
        <f>E374*C374*0.1</f>
        <v>124.30000000000001</v>
      </c>
      <c r="J374" s="7"/>
      <c r="K374" s="7"/>
      <c r="L374" s="7"/>
      <c r="M374" s="7"/>
      <c r="N374" s="7"/>
      <c r="O374" s="7"/>
      <c r="P374" s="4">
        <f>SUM(G374:O374)</f>
        <v>124.30000000000001</v>
      </c>
      <c r="Q374" s="4">
        <f t="shared" si="34"/>
        <v>1367.3</v>
      </c>
      <c r="R374" s="7"/>
      <c r="S374" s="4">
        <f t="shared" si="35"/>
        <v>16407.6</v>
      </c>
    </row>
    <row r="375" spans="1:19" ht="12.75" customHeight="1">
      <c r="A375" s="7"/>
      <c r="B375" s="31" t="s">
        <v>424</v>
      </c>
      <c r="C375" s="7">
        <v>1</v>
      </c>
      <c r="D375" s="7">
        <v>4</v>
      </c>
      <c r="E375" s="7">
        <v>1243</v>
      </c>
      <c r="F375" s="71">
        <f t="shared" si="33"/>
        <v>1243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4">
        <f t="shared" si="34"/>
        <v>1243</v>
      </c>
      <c r="R375" s="7"/>
      <c r="S375" s="4">
        <f t="shared" si="35"/>
        <v>14916</v>
      </c>
    </row>
    <row r="376" spans="1:19" ht="12.75" customHeight="1">
      <c r="A376" s="7"/>
      <c r="B376" s="31" t="s">
        <v>468</v>
      </c>
      <c r="C376" s="7">
        <v>1</v>
      </c>
      <c r="D376" s="7">
        <v>1</v>
      </c>
      <c r="E376" s="7">
        <v>1218</v>
      </c>
      <c r="F376" s="71">
        <f t="shared" si="33"/>
        <v>1218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4">
        <f t="shared" si="34"/>
        <v>1218</v>
      </c>
      <c r="R376" s="7"/>
      <c r="S376" s="4">
        <f t="shared" si="35"/>
        <v>14616</v>
      </c>
    </row>
    <row r="377" spans="1:19" ht="12.75" customHeight="1">
      <c r="A377" s="10"/>
      <c r="B377" s="26" t="s">
        <v>40</v>
      </c>
      <c r="C377" s="10">
        <f>SUM(C368:C376)</f>
        <v>9.5</v>
      </c>
      <c r="D377" s="10"/>
      <c r="E377" s="10"/>
      <c r="F377" s="72">
        <f>SUM(F368:F376)</f>
        <v>12190.5</v>
      </c>
      <c r="G377" s="10"/>
      <c r="H377" s="10"/>
      <c r="I377" s="11">
        <f>SUM(I368:I375)</f>
        <v>386.70000000000005</v>
      </c>
      <c r="J377" s="11"/>
      <c r="K377" s="11"/>
      <c r="L377" s="11"/>
      <c r="M377" s="11"/>
      <c r="N377" s="11"/>
      <c r="O377" s="11"/>
      <c r="P377" s="11">
        <f>SUM(P368:P375)</f>
        <v>386.70000000000005</v>
      </c>
      <c r="Q377" s="11">
        <f>SUM(Q368:Q376)</f>
        <v>12577.199999999999</v>
      </c>
      <c r="R377" s="11">
        <f>SUM(R368:R375)</f>
        <v>0</v>
      </c>
      <c r="S377" s="11">
        <f>SUM(S368:S376)</f>
        <v>150926.4</v>
      </c>
    </row>
    <row r="378" spans="1:19" ht="12.75" customHeight="1">
      <c r="A378" s="3" t="s">
        <v>29</v>
      </c>
      <c r="B378" s="2" t="s">
        <v>123</v>
      </c>
      <c r="C378" s="3"/>
      <c r="D378" s="3"/>
      <c r="E378" s="5"/>
      <c r="F378" s="7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</row>
    <row r="379" spans="1:19" ht="12.75" customHeight="1">
      <c r="A379" s="7"/>
      <c r="B379" s="31" t="s">
        <v>124</v>
      </c>
      <c r="C379" s="7">
        <v>1</v>
      </c>
      <c r="D379" s="7">
        <v>9</v>
      </c>
      <c r="E379" s="4">
        <v>1474</v>
      </c>
      <c r="F379" s="71">
        <f>E379*C379</f>
        <v>1474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4">
        <f>E379*C379+SUM(G379:O379)</f>
        <v>1474</v>
      </c>
      <c r="R379" s="7"/>
      <c r="S379" s="4">
        <f>Q379*$R$17</f>
        <v>17688</v>
      </c>
    </row>
    <row r="380" spans="1:19" ht="12.75" customHeight="1">
      <c r="A380" s="7"/>
      <c r="B380" s="31" t="s">
        <v>180</v>
      </c>
      <c r="C380" s="7">
        <v>1</v>
      </c>
      <c r="D380" s="7">
        <v>7</v>
      </c>
      <c r="E380" s="4">
        <v>1312</v>
      </c>
      <c r="F380" s="71">
        <f>E380*C380</f>
        <v>1312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4">
        <f>E380*C380+SUM(G380:O380)</f>
        <v>1312</v>
      </c>
      <c r="R380" s="7"/>
      <c r="S380" s="4">
        <f>Q380*$R$17</f>
        <v>15744</v>
      </c>
    </row>
    <row r="381" spans="1:19" ht="12.75" customHeight="1">
      <c r="A381" s="8"/>
      <c r="B381" s="27" t="s">
        <v>359</v>
      </c>
      <c r="C381" s="8">
        <v>5</v>
      </c>
      <c r="D381" s="8">
        <v>2</v>
      </c>
      <c r="E381" s="8">
        <v>1223</v>
      </c>
      <c r="F381" s="71">
        <f>E381*C381</f>
        <v>6115</v>
      </c>
      <c r="G381" s="8"/>
      <c r="H381" s="8"/>
      <c r="I381" s="8"/>
      <c r="J381" s="8"/>
      <c r="K381" s="8"/>
      <c r="L381" s="8"/>
      <c r="M381" s="8"/>
      <c r="N381" s="8"/>
      <c r="O381" s="8"/>
      <c r="P381" s="7"/>
      <c r="Q381" s="4">
        <f>E381*C381+SUM(G381:O381)</f>
        <v>6115</v>
      </c>
      <c r="R381" s="7"/>
      <c r="S381" s="4">
        <f>Q381*$R$17</f>
        <v>73380</v>
      </c>
    </row>
    <row r="382" spans="1:19" ht="12.75" customHeight="1">
      <c r="A382" s="10"/>
      <c r="B382" s="26" t="s">
        <v>40</v>
      </c>
      <c r="C382" s="10">
        <f>SUM(C379:C381)</f>
        <v>7</v>
      </c>
      <c r="D382" s="10"/>
      <c r="E382" s="10"/>
      <c r="F382" s="72">
        <f>SUM(F379:F381)</f>
        <v>8901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>
        <f>SUM(Q379:Q381)</f>
        <v>8901</v>
      </c>
      <c r="R382" s="10">
        <f>SUM(R379:R381)</f>
        <v>0</v>
      </c>
      <c r="S382" s="10">
        <f>SUM(S379:S381)</f>
        <v>106812</v>
      </c>
    </row>
    <row r="383" spans="1:19" ht="12" customHeight="1">
      <c r="A383" s="3" t="s">
        <v>59</v>
      </c>
      <c r="B383" s="2" t="s">
        <v>125</v>
      </c>
      <c r="C383" s="3"/>
      <c r="D383" s="3"/>
      <c r="E383" s="5"/>
      <c r="F383" s="7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</row>
    <row r="384" spans="1:19" ht="12" customHeight="1">
      <c r="A384" s="7"/>
      <c r="B384" s="31" t="s">
        <v>507</v>
      </c>
      <c r="C384" s="7">
        <v>1</v>
      </c>
      <c r="D384" s="7">
        <v>7</v>
      </c>
      <c r="E384" s="4">
        <v>1312</v>
      </c>
      <c r="F384" s="71">
        <f>E384*C384</f>
        <v>1312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4">
        <f>E384*C384+SUM(G384:O384)</f>
        <v>1312</v>
      </c>
      <c r="R384" s="7"/>
      <c r="S384" s="4">
        <f>Q384*$R$17</f>
        <v>15744</v>
      </c>
    </row>
    <row r="385" spans="1:19" ht="12" customHeight="1">
      <c r="A385" s="7"/>
      <c r="B385" s="31" t="s">
        <v>126</v>
      </c>
      <c r="C385" s="7">
        <v>7</v>
      </c>
      <c r="D385" s="7">
        <v>4</v>
      </c>
      <c r="E385" s="4">
        <v>1243</v>
      </c>
      <c r="F385" s="71">
        <f>E385*C385</f>
        <v>8701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4">
        <f>E385*C385+SUM(G385:O385)</f>
        <v>8701</v>
      </c>
      <c r="R385" s="7"/>
      <c r="S385" s="4">
        <f>Q385*$R$17</f>
        <v>104412</v>
      </c>
    </row>
    <row r="386" spans="1:19" ht="36.75" customHeight="1">
      <c r="A386" s="7"/>
      <c r="B386" s="45" t="s">
        <v>499</v>
      </c>
      <c r="C386" s="31"/>
      <c r="D386" s="7"/>
      <c r="E386" s="7"/>
      <c r="F386" s="7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121" t="s">
        <v>214</v>
      </c>
      <c r="C387" s="7">
        <v>6</v>
      </c>
      <c r="D387" s="7">
        <v>2</v>
      </c>
      <c r="E387" s="7">
        <v>1223</v>
      </c>
      <c r="F387" s="71">
        <f aca="true" t="shared" si="36" ref="F387:F392">E387*C387</f>
        <v>7338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4">
        <f aca="true" t="shared" si="37" ref="Q387:Q392">E387*C387+SUM(G387:O387)</f>
        <v>7338</v>
      </c>
      <c r="R387" s="7"/>
      <c r="S387" s="4">
        <f aca="true" t="shared" si="38" ref="S387:S392">Q387*$R$17</f>
        <v>88056</v>
      </c>
    </row>
    <row r="388" spans="1:19" ht="12.75" customHeight="1">
      <c r="A388" s="7"/>
      <c r="B388" s="31" t="s">
        <v>361</v>
      </c>
      <c r="C388" s="7">
        <v>46.5</v>
      </c>
      <c r="D388" s="7">
        <v>1</v>
      </c>
      <c r="E388" s="7">
        <v>1218</v>
      </c>
      <c r="F388" s="71">
        <f t="shared" si="36"/>
        <v>56637</v>
      </c>
      <c r="G388" s="7"/>
      <c r="H388" s="7"/>
      <c r="I388" s="7"/>
      <c r="J388" s="7"/>
      <c r="K388" s="7"/>
      <c r="L388" s="7"/>
      <c r="M388" s="7"/>
      <c r="N388" s="7"/>
      <c r="O388" s="4">
        <f>E388*C388*0.1</f>
        <v>5663.700000000001</v>
      </c>
      <c r="P388" s="4">
        <f>SUM(G388:O388)</f>
        <v>5663.700000000001</v>
      </c>
      <c r="Q388" s="4">
        <f t="shared" si="37"/>
        <v>62300.7</v>
      </c>
      <c r="R388" s="7"/>
      <c r="S388" s="4">
        <f t="shared" si="38"/>
        <v>747608.3999999999</v>
      </c>
    </row>
    <row r="389" spans="1:19" ht="12.75" customHeight="1">
      <c r="A389" s="7"/>
      <c r="B389" s="31" t="s">
        <v>360</v>
      </c>
      <c r="C389" s="7">
        <f>46-16</f>
        <v>30</v>
      </c>
      <c r="D389" s="7">
        <v>1</v>
      </c>
      <c r="E389" s="7">
        <v>1218</v>
      </c>
      <c r="F389" s="71">
        <f t="shared" si="36"/>
        <v>36540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4">
        <f t="shared" si="37"/>
        <v>36540</v>
      </c>
      <c r="R389" s="7"/>
      <c r="S389" s="4">
        <f t="shared" si="38"/>
        <v>438480</v>
      </c>
    </row>
    <row r="390" spans="1:19" ht="12.75" customHeight="1">
      <c r="A390" s="7"/>
      <c r="B390" s="31" t="s">
        <v>362</v>
      </c>
      <c r="C390" s="7">
        <f>13-5</f>
        <v>8</v>
      </c>
      <c r="D390" s="7">
        <v>1</v>
      </c>
      <c r="E390" s="7">
        <v>1218</v>
      </c>
      <c r="F390" s="71">
        <f t="shared" si="36"/>
        <v>9744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4">
        <f t="shared" si="37"/>
        <v>9744</v>
      </c>
      <c r="R390" s="7"/>
      <c r="S390" s="4">
        <f t="shared" si="38"/>
        <v>116928</v>
      </c>
    </row>
    <row r="391" spans="1:19" ht="12.75" customHeight="1">
      <c r="A391" s="7"/>
      <c r="B391" s="31" t="s">
        <v>363</v>
      </c>
      <c r="C391" s="7">
        <v>1</v>
      </c>
      <c r="D391" s="7">
        <v>1</v>
      </c>
      <c r="E391" s="7">
        <v>1218</v>
      </c>
      <c r="F391" s="71">
        <f t="shared" si="36"/>
        <v>1218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4">
        <f t="shared" si="37"/>
        <v>1218</v>
      </c>
      <c r="R391" s="7"/>
      <c r="S391" s="4">
        <f t="shared" si="38"/>
        <v>14616</v>
      </c>
    </row>
    <row r="392" spans="1:19" ht="12.75" customHeight="1">
      <c r="A392" s="7"/>
      <c r="B392" s="27" t="s">
        <v>364</v>
      </c>
      <c r="C392" s="8">
        <v>4</v>
      </c>
      <c r="D392" s="7">
        <v>1</v>
      </c>
      <c r="E392" s="7">
        <v>1218</v>
      </c>
      <c r="F392" s="71">
        <f t="shared" si="36"/>
        <v>4872</v>
      </c>
      <c r="G392" s="8"/>
      <c r="H392" s="8"/>
      <c r="I392" s="8"/>
      <c r="J392" s="8"/>
      <c r="K392" s="8"/>
      <c r="L392" s="8"/>
      <c r="M392" s="8"/>
      <c r="N392" s="8"/>
      <c r="O392" s="8"/>
      <c r="P392" s="7"/>
      <c r="Q392" s="4">
        <f t="shared" si="37"/>
        <v>4872</v>
      </c>
      <c r="R392" s="7"/>
      <c r="S392" s="4">
        <f t="shared" si="38"/>
        <v>58464</v>
      </c>
    </row>
    <row r="393" spans="1:19" ht="12.75" customHeight="1">
      <c r="A393" s="10"/>
      <c r="B393" s="26" t="s">
        <v>40</v>
      </c>
      <c r="C393" s="10">
        <f>SUM(C384:C392)</f>
        <v>103.5</v>
      </c>
      <c r="D393" s="10"/>
      <c r="E393" s="10"/>
      <c r="F393" s="72">
        <f>SUM(F384:F392)</f>
        <v>126362</v>
      </c>
      <c r="G393" s="10"/>
      <c r="H393" s="10"/>
      <c r="I393" s="10"/>
      <c r="J393" s="10"/>
      <c r="K393" s="10"/>
      <c r="L393" s="10"/>
      <c r="M393" s="10"/>
      <c r="N393" s="10"/>
      <c r="O393" s="11">
        <f>SUM(O384:O392)</f>
        <v>5663.700000000001</v>
      </c>
      <c r="P393" s="11">
        <f>SUM(P384:P392)</f>
        <v>5663.700000000001</v>
      </c>
      <c r="Q393" s="11">
        <f>SUM(Q384:Q392)</f>
        <v>132025.7</v>
      </c>
      <c r="R393" s="11">
        <f>SUM(R384:R392)</f>
        <v>0</v>
      </c>
      <c r="S393" s="11">
        <f>SUM(S384:S392)</f>
        <v>1584308.4</v>
      </c>
    </row>
    <row r="394" spans="1:19" ht="12.75" customHeight="1">
      <c r="A394" s="3" t="s">
        <v>62</v>
      </c>
      <c r="B394" s="2" t="s">
        <v>129</v>
      </c>
      <c r="C394" s="3"/>
      <c r="D394" s="3"/>
      <c r="E394" s="5"/>
      <c r="F394" s="7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 customHeight="1">
      <c r="A395" s="7"/>
      <c r="B395" s="31" t="s">
        <v>130</v>
      </c>
      <c r="C395" s="7">
        <v>1</v>
      </c>
      <c r="D395" s="7">
        <v>13</v>
      </c>
      <c r="E395" s="4">
        <v>1934</v>
      </c>
      <c r="F395" s="71">
        <f aca="true" t="shared" si="39" ref="F395:F405">E395*C395</f>
        <v>1934</v>
      </c>
      <c r="G395" s="4">
        <f aca="true" t="shared" si="40" ref="G395:G405">E395*C395*0.5</f>
        <v>967</v>
      </c>
      <c r="H395" s="7"/>
      <c r="I395" s="4">
        <f>E395*C395*0.3</f>
        <v>580.1999999999999</v>
      </c>
      <c r="J395" s="4"/>
      <c r="K395" s="7"/>
      <c r="L395" s="7"/>
      <c r="M395" s="7"/>
      <c r="N395" s="7"/>
      <c r="O395" s="7"/>
      <c r="P395" s="4">
        <f aca="true" t="shared" si="41" ref="P395:P405">SUM(G395:O395)</f>
        <v>1547.1999999999998</v>
      </c>
      <c r="Q395" s="4">
        <f aca="true" t="shared" si="42" ref="Q395:Q405">E395*C395+SUM(G395:O395)</f>
        <v>3481.2</v>
      </c>
      <c r="R395" s="7"/>
      <c r="S395" s="4">
        <f aca="true" t="shared" si="43" ref="S395:S405">Q395*$R$17</f>
        <v>41774.399999999994</v>
      </c>
    </row>
    <row r="396" spans="1:19" ht="12.75" customHeight="1">
      <c r="A396" s="7"/>
      <c r="B396" s="31" t="s">
        <v>500</v>
      </c>
      <c r="C396" s="7">
        <v>1</v>
      </c>
      <c r="D396" s="7"/>
      <c r="E396" s="4">
        <v>1837</v>
      </c>
      <c r="F396" s="57">
        <f t="shared" si="39"/>
        <v>1837</v>
      </c>
      <c r="G396" s="4">
        <f t="shared" si="40"/>
        <v>918.5</v>
      </c>
      <c r="H396" s="7"/>
      <c r="I396" s="4">
        <f>E396*C396*0.1</f>
        <v>183.70000000000002</v>
      </c>
      <c r="J396" s="7"/>
      <c r="K396" s="7"/>
      <c r="L396" s="7"/>
      <c r="M396" s="7"/>
      <c r="N396" s="7"/>
      <c r="O396" s="7"/>
      <c r="P396" s="4">
        <f t="shared" si="41"/>
        <v>1102.2</v>
      </c>
      <c r="Q396" s="4">
        <f t="shared" si="42"/>
        <v>2939.2</v>
      </c>
      <c r="R396" s="7"/>
      <c r="S396" s="4">
        <f t="shared" si="43"/>
        <v>35270.399999999994</v>
      </c>
    </row>
    <row r="397" spans="1:19" ht="12.75" customHeight="1">
      <c r="A397" s="7"/>
      <c r="B397" s="31" t="s">
        <v>508</v>
      </c>
      <c r="C397" s="7">
        <v>4</v>
      </c>
      <c r="D397" s="7">
        <v>10</v>
      </c>
      <c r="E397" s="4">
        <v>1551</v>
      </c>
      <c r="F397" s="71">
        <f t="shared" si="39"/>
        <v>6204</v>
      </c>
      <c r="G397" s="7">
        <f t="shared" si="40"/>
        <v>3102</v>
      </c>
      <c r="H397" s="7"/>
      <c r="I397" s="4">
        <f>E397*0.1*2+E397*0.2</f>
        <v>620.4000000000001</v>
      </c>
      <c r="J397" s="4"/>
      <c r="K397" s="7"/>
      <c r="L397" s="7"/>
      <c r="M397" s="7"/>
      <c r="N397" s="7"/>
      <c r="O397" s="7"/>
      <c r="P397" s="4">
        <f t="shared" si="41"/>
        <v>3722.4</v>
      </c>
      <c r="Q397" s="4">
        <f t="shared" si="42"/>
        <v>9926.4</v>
      </c>
      <c r="R397" s="7"/>
      <c r="S397" s="4">
        <f t="shared" si="43"/>
        <v>119116.79999999999</v>
      </c>
    </row>
    <row r="398" spans="1:19" ht="12.75" customHeight="1">
      <c r="A398" s="7"/>
      <c r="B398" s="31" t="s">
        <v>396</v>
      </c>
      <c r="C398" s="7">
        <v>1</v>
      </c>
      <c r="D398" s="7">
        <v>10</v>
      </c>
      <c r="E398" s="4">
        <v>1551</v>
      </c>
      <c r="F398" s="71">
        <f t="shared" si="39"/>
        <v>1551</v>
      </c>
      <c r="G398" s="7">
        <f t="shared" si="40"/>
        <v>775.5</v>
      </c>
      <c r="H398" s="7"/>
      <c r="I398" s="4">
        <f>E398*C398*0.2</f>
        <v>310.20000000000005</v>
      </c>
      <c r="J398" s="4"/>
      <c r="K398" s="7"/>
      <c r="L398" s="7"/>
      <c r="M398" s="7"/>
      <c r="N398" s="7"/>
      <c r="O398" s="7"/>
      <c r="P398" s="4">
        <f t="shared" si="41"/>
        <v>1085.7</v>
      </c>
      <c r="Q398" s="4">
        <f t="shared" si="42"/>
        <v>2636.7</v>
      </c>
      <c r="R398" s="7"/>
      <c r="S398" s="4">
        <f t="shared" si="43"/>
        <v>31640.399999999998</v>
      </c>
    </row>
    <row r="399" spans="1:19" ht="12.75" customHeight="1">
      <c r="A399" s="7"/>
      <c r="B399" s="31" t="s">
        <v>509</v>
      </c>
      <c r="C399" s="7">
        <v>2</v>
      </c>
      <c r="D399" s="7">
        <v>10</v>
      </c>
      <c r="E399" s="4">
        <v>1551</v>
      </c>
      <c r="F399" s="71">
        <f t="shared" si="39"/>
        <v>3102</v>
      </c>
      <c r="G399" s="7">
        <f t="shared" si="40"/>
        <v>1551</v>
      </c>
      <c r="H399" s="7"/>
      <c r="I399" s="4">
        <f>E399*0.1+E399*0.3</f>
        <v>620.4</v>
      </c>
      <c r="J399" s="4"/>
      <c r="K399" s="7"/>
      <c r="L399" s="7"/>
      <c r="M399" s="7"/>
      <c r="N399" s="7"/>
      <c r="O399" s="7"/>
      <c r="P399" s="4">
        <f t="shared" si="41"/>
        <v>2171.4</v>
      </c>
      <c r="Q399" s="4">
        <f t="shared" si="42"/>
        <v>5273.4</v>
      </c>
      <c r="R399" s="7"/>
      <c r="S399" s="4">
        <f t="shared" si="43"/>
        <v>63280.799999999996</v>
      </c>
    </row>
    <row r="400" spans="1:19" ht="12.75" customHeight="1">
      <c r="A400" s="7"/>
      <c r="B400" s="31" t="s">
        <v>397</v>
      </c>
      <c r="C400" s="7">
        <v>1</v>
      </c>
      <c r="D400" s="7">
        <v>10</v>
      </c>
      <c r="E400" s="4">
        <v>1551</v>
      </c>
      <c r="F400" s="71">
        <f t="shared" si="39"/>
        <v>1551</v>
      </c>
      <c r="G400" s="7">
        <f t="shared" si="40"/>
        <v>775.5</v>
      </c>
      <c r="H400" s="7"/>
      <c r="I400" s="4">
        <f>E400*0.3</f>
        <v>465.29999999999995</v>
      </c>
      <c r="J400" s="4"/>
      <c r="K400" s="7"/>
      <c r="L400" s="7"/>
      <c r="M400" s="7"/>
      <c r="N400" s="7"/>
      <c r="O400" s="7"/>
      <c r="P400" s="4">
        <f t="shared" si="41"/>
        <v>1240.8</v>
      </c>
      <c r="Q400" s="4">
        <f t="shared" si="42"/>
        <v>2791.8</v>
      </c>
      <c r="R400" s="7"/>
      <c r="S400" s="4">
        <f t="shared" si="43"/>
        <v>33501.600000000006</v>
      </c>
    </row>
    <row r="401" spans="1:19" ht="12.75" customHeight="1">
      <c r="A401" s="7"/>
      <c r="B401" s="31" t="s">
        <v>398</v>
      </c>
      <c r="C401" s="7">
        <v>4</v>
      </c>
      <c r="D401" s="7">
        <v>10</v>
      </c>
      <c r="E401" s="4">
        <v>1551</v>
      </c>
      <c r="F401" s="71">
        <f t="shared" si="39"/>
        <v>6204</v>
      </c>
      <c r="G401" s="7">
        <f t="shared" si="40"/>
        <v>3102</v>
      </c>
      <c r="H401" s="7"/>
      <c r="I401" s="4">
        <f>E401*1*0.2+E401*2*0.3</f>
        <v>1240.8</v>
      </c>
      <c r="J401" s="4"/>
      <c r="K401" s="7"/>
      <c r="L401" s="7"/>
      <c r="M401" s="7"/>
      <c r="N401" s="7"/>
      <c r="O401" s="7"/>
      <c r="P401" s="4">
        <f t="shared" si="41"/>
        <v>4342.8</v>
      </c>
      <c r="Q401" s="4">
        <f t="shared" si="42"/>
        <v>10546.8</v>
      </c>
      <c r="R401" s="7"/>
      <c r="S401" s="4">
        <f t="shared" si="43"/>
        <v>126561.59999999999</v>
      </c>
    </row>
    <row r="402" spans="1:19" ht="12.75" customHeight="1">
      <c r="A402" s="7"/>
      <c r="B402" s="31" t="s">
        <v>399</v>
      </c>
      <c r="C402" s="7">
        <v>3</v>
      </c>
      <c r="D402" s="7">
        <v>9</v>
      </c>
      <c r="E402" s="4">
        <v>1474</v>
      </c>
      <c r="F402" s="71">
        <f t="shared" si="39"/>
        <v>4422</v>
      </c>
      <c r="G402" s="4">
        <f t="shared" si="40"/>
        <v>2211</v>
      </c>
      <c r="H402" s="7"/>
      <c r="I402" s="4">
        <f>E402*0.1+E402*0.2</f>
        <v>442.20000000000005</v>
      </c>
      <c r="J402" s="4"/>
      <c r="K402" s="7"/>
      <c r="L402" s="7"/>
      <c r="M402" s="7"/>
      <c r="N402" s="7"/>
      <c r="O402" s="7"/>
      <c r="P402" s="4">
        <f t="shared" si="41"/>
        <v>2653.2</v>
      </c>
      <c r="Q402" s="4">
        <f t="shared" si="42"/>
        <v>7075.2</v>
      </c>
      <c r="R402" s="7"/>
      <c r="S402" s="4">
        <f t="shared" si="43"/>
        <v>84902.4</v>
      </c>
    </row>
    <row r="403" spans="1:19" ht="12.75" customHeight="1">
      <c r="A403" s="7"/>
      <c r="B403" s="31" t="s">
        <v>400</v>
      </c>
      <c r="C403" s="7">
        <v>1</v>
      </c>
      <c r="D403" s="7">
        <v>10</v>
      </c>
      <c r="E403" s="4">
        <v>1551</v>
      </c>
      <c r="F403" s="71">
        <f t="shared" si="39"/>
        <v>1551</v>
      </c>
      <c r="G403" s="7">
        <f t="shared" si="40"/>
        <v>775.5</v>
      </c>
      <c r="H403" s="7"/>
      <c r="I403" s="4">
        <f>E403*0.3</f>
        <v>465.29999999999995</v>
      </c>
      <c r="J403" s="4"/>
      <c r="K403" s="7"/>
      <c r="L403" s="7"/>
      <c r="M403" s="7"/>
      <c r="N403" s="7"/>
      <c r="O403" s="7"/>
      <c r="P403" s="4">
        <f t="shared" si="41"/>
        <v>1240.8</v>
      </c>
      <c r="Q403" s="4">
        <f t="shared" si="42"/>
        <v>2791.8</v>
      </c>
      <c r="R403" s="7"/>
      <c r="S403" s="4">
        <f t="shared" si="43"/>
        <v>33501.600000000006</v>
      </c>
    </row>
    <row r="404" spans="1:19" ht="12.75" customHeight="1">
      <c r="A404" s="7"/>
      <c r="B404" s="31" t="s">
        <v>401</v>
      </c>
      <c r="C404" s="7">
        <v>5</v>
      </c>
      <c r="D404" s="7">
        <v>9</v>
      </c>
      <c r="E404" s="4">
        <v>1474</v>
      </c>
      <c r="F404" s="71">
        <f t="shared" si="39"/>
        <v>7370</v>
      </c>
      <c r="G404" s="4">
        <f t="shared" si="40"/>
        <v>3685</v>
      </c>
      <c r="H404" s="7"/>
      <c r="I404" s="4">
        <f>E404*3*0.1</f>
        <v>442.20000000000005</v>
      </c>
      <c r="J404" s="4"/>
      <c r="K404" s="7"/>
      <c r="L404" s="7"/>
      <c r="M404" s="7"/>
      <c r="N404" s="7"/>
      <c r="O404" s="7"/>
      <c r="P404" s="4">
        <f t="shared" si="41"/>
        <v>4127.2</v>
      </c>
      <c r="Q404" s="4">
        <f t="shared" si="42"/>
        <v>11497.2</v>
      </c>
      <c r="R404" s="7"/>
      <c r="S404" s="4">
        <f t="shared" si="43"/>
        <v>137966.40000000002</v>
      </c>
    </row>
    <row r="405" spans="1:19" ht="12.75" customHeight="1">
      <c r="A405" s="8"/>
      <c r="B405" s="27" t="s">
        <v>402</v>
      </c>
      <c r="C405" s="8">
        <v>3</v>
      </c>
      <c r="D405" s="8">
        <v>9</v>
      </c>
      <c r="E405" s="9">
        <v>1474</v>
      </c>
      <c r="F405" s="74">
        <f t="shared" si="39"/>
        <v>4422</v>
      </c>
      <c r="G405" s="9">
        <f t="shared" si="40"/>
        <v>2211</v>
      </c>
      <c r="H405" s="8"/>
      <c r="I405" s="9">
        <f>E405*0.1+E405*0.3</f>
        <v>589.6</v>
      </c>
      <c r="J405" s="9"/>
      <c r="K405" s="8"/>
      <c r="L405" s="8"/>
      <c r="M405" s="8"/>
      <c r="N405" s="8"/>
      <c r="O405" s="8"/>
      <c r="P405" s="9">
        <f t="shared" si="41"/>
        <v>2800.6</v>
      </c>
      <c r="Q405" s="9">
        <f t="shared" si="42"/>
        <v>7222.6</v>
      </c>
      <c r="R405" s="8"/>
      <c r="S405" s="9">
        <f t="shared" si="43"/>
        <v>86671.20000000001</v>
      </c>
    </row>
    <row r="406" spans="1:19" ht="12.75" customHeight="1">
      <c r="A406" s="10"/>
      <c r="B406" s="26" t="s">
        <v>40</v>
      </c>
      <c r="C406" s="10">
        <f>SUM(C395:C405)</f>
        <v>26</v>
      </c>
      <c r="D406" s="10"/>
      <c r="E406" s="10"/>
      <c r="F406" s="72">
        <f>SUM(F395:F405)</f>
        <v>40148</v>
      </c>
      <c r="G406" s="10">
        <f>SUM(G395:G405)</f>
        <v>20074</v>
      </c>
      <c r="H406" s="10"/>
      <c r="I406" s="11">
        <f>SUM(I395:I405)</f>
        <v>5960.3</v>
      </c>
      <c r="J406" s="11"/>
      <c r="K406" s="11"/>
      <c r="L406" s="11"/>
      <c r="M406" s="11"/>
      <c r="N406" s="11"/>
      <c r="O406" s="11"/>
      <c r="P406" s="11">
        <f>SUM(P395:P405)</f>
        <v>26034.3</v>
      </c>
      <c r="Q406" s="11">
        <f>SUM(Q395:Q405)</f>
        <v>66182.3</v>
      </c>
      <c r="R406" s="11">
        <f>SUM(R395:R405)</f>
        <v>0</v>
      </c>
      <c r="S406" s="11">
        <f>SUM(S395:S405)</f>
        <v>794187.6000000001</v>
      </c>
    </row>
    <row r="407" spans="1:19" ht="11.25" customHeight="1">
      <c r="A407" s="3" t="s">
        <v>64</v>
      </c>
      <c r="B407" s="2" t="s">
        <v>131</v>
      </c>
      <c r="C407" s="3"/>
      <c r="D407" s="3"/>
      <c r="E407" s="5"/>
      <c r="F407" s="7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</row>
    <row r="408" spans="1:19" ht="11.25" customHeight="1">
      <c r="A408" s="7"/>
      <c r="B408" s="31" t="s">
        <v>132</v>
      </c>
      <c r="C408" s="7">
        <v>1</v>
      </c>
      <c r="D408" s="7">
        <v>11</v>
      </c>
      <c r="E408" s="4">
        <v>1678</v>
      </c>
      <c r="F408" s="71">
        <f aca="true" t="shared" si="44" ref="F408:F418">E408*C408</f>
        <v>1678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4">
        <f aca="true" t="shared" si="45" ref="Q408:Q418">E408*C408+SUM(G408:O408)</f>
        <v>1678</v>
      </c>
      <c r="R408" s="7"/>
      <c r="S408" s="4">
        <f aca="true" t="shared" si="46" ref="S408:S418">Q408*$R$17</f>
        <v>20136</v>
      </c>
    </row>
    <row r="409" spans="1:19" ht="23.25" customHeight="1">
      <c r="A409" s="7"/>
      <c r="B409" s="31" t="s">
        <v>510</v>
      </c>
      <c r="C409" s="7">
        <v>1</v>
      </c>
      <c r="D409" s="7"/>
      <c r="E409" s="4">
        <v>1594</v>
      </c>
      <c r="F409" s="71">
        <f t="shared" si="44"/>
        <v>1594</v>
      </c>
      <c r="G409" s="7" t="s">
        <v>91</v>
      </c>
      <c r="H409" s="7"/>
      <c r="I409" s="7"/>
      <c r="J409" s="7"/>
      <c r="K409" s="7"/>
      <c r="L409" s="7"/>
      <c r="M409" s="7"/>
      <c r="N409" s="7"/>
      <c r="O409" s="7"/>
      <c r="P409" s="7"/>
      <c r="Q409" s="4">
        <f t="shared" si="45"/>
        <v>1594</v>
      </c>
      <c r="R409" s="7"/>
      <c r="S409" s="4">
        <f t="shared" si="46"/>
        <v>19128</v>
      </c>
    </row>
    <row r="410" spans="1:19" ht="22.5" customHeight="1">
      <c r="A410" s="7"/>
      <c r="B410" s="31" t="s">
        <v>511</v>
      </c>
      <c r="C410" s="7">
        <v>1</v>
      </c>
      <c r="D410" s="7"/>
      <c r="E410" s="4">
        <v>1594</v>
      </c>
      <c r="F410" s="71">
        <f t="shared" si="44"/>
        <v>1594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4">
        <f t="shared" si="45"/>
        <v>1594</v>
      </c>
      <c r="R410" s="7"/>
      <c r="S410" s="4">
        <f t="shared" si="46"/>
        <v>19128</v>
      </c>
    </row>
    <row r="411" spans="1:19" ht="11.25" customHeight="1">
      <c r="A411" s="7"/>
      <c r="B411" s="31" t="s">
        <v>133</v>
      </c>
      <c r="C411" s="7">
        <v>4</v>
      </c>
      <c r="D411" s="7">
        <v>4</v>
      </c>
      <c r="E411" s="4">
        <v>1243</v>
      </c>
      <c r="F411" s="71">
        <f t="shared" si="44"/>
        <v>4972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4">
        <f t="shared" si="45"/>
        <v>4972</v>
      </c>
      <c r="R411" s="7"/>
      <c r="S411" s="4">
        <f t="shared" si="46"/>
        <v>59664</v>
      </c>
    </row>
    <row r="412" spans="1:19" ht="11.25" customHeight="1">
      <c r="A412" s="7"/>
      <c r="B412" s="31" t="s">
        <v>134</v>
      </c>
      <c r="C412" s="7">
        <v>4</v>
      </c>
      <c r="D412" s="7">
        <v>4</v>
      </c>
      <c r="E412" s="4">
        <v>1243</v>
      </c>
      <c r="F412" s="71">
        <f t="shared" si="44"/>
        <v>4972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4">
        <f t="shared" si="45"/>
        <v>4972</v>
      </c>
      <c r="R412" s="7"/>
      <c r="S412" s="4">
        <f t="shared" si="46"/>
        <v>59664</v>
      </c>
    </row>
    <row r="413" spans="1:19" ht="11.25" customHeight="1">
      <c r="A413" s="7"/>
      <c r="B413" s="31" t="s">
        <v>289</v>
      </c>
      <c r="C413" s="7">
        <v>7.5</v>
      </c>
      <c r="D413" s="7">
        <v>1</v>
      </c>
      <c r="E413" s="7">
        <v>1218</v>
      </c>
      <c r="F413" s="71">
        <f t="shared" si="44"/>
        <v>9135</v>
      </c>
      <c r="G413" s="7"/>
      <c r="H413" s="7"/>
      <c r="I413" s="7"/>
      <c r="J413" s="7"/>
      <c r="K413" s="7"/>
      <c r="L413" s="7"/>
      <c r="M413" s="7"/>
      <c r="N413" s="7"/>
      <c r="O413" s="4">
        <f>E413*C413*0.1</f>
        <v>913.5</v>
      </c>
      <c r="P413" s="4">
        <f>SUM(G413:O413)</f>
        <v>913.5</v>
      </c>
      <c r="Q413" s="4">
        <f t="shared" si="45"/>
        <v>10048.5</v>
      </c>
      <c r="R413" s="4"/>
      <c r="S413" s="4">
        <f t="shared" si="46"/>
        <v>120582</v>
      </c>
    </row>
    <row r="414" spans="1:19" ht="11.25" customHeight="1">
      <c r="A414" s="7"/>
      <c r="B414" s="31" t="s">
        <v>365</v>
      </c>
      <c r="C414" s="7">
        <v>1</v>
      </c>
      <c r="D414" s="7">
        <v>1</v>
      </c>
      <c r="E414" s="7">
        <v>1218</v>
      </c>
      <c r="F414" s="71">
        <f t="shared" si="44"/>
        <v>1218</v>
      </c>
      <c r="G414" s="7"/>
      <c r="H414" s="7"/>
      <c r="I414" s="7"/>
      <c r="J414" s="7"/>
      <c r="K414" s="7"/>
      <c r="L414" s="7"/>
      <c r="M414" s="7"/>
      <c r="N414" s="7"/>
      <c r="O414" s="4"/>
      <c r="P414" s="4"/>
      <c r="Q414" s="4">
        <f t="shared" si="45"/>
        <v>1218</v>
      </c>
      <c r="R414" s="4"/>
      <c r="S414" s="4">
        <f t="shared" si="46"/>
        <v>14616</v>
      </c>
    </row>
    <row r="415" spans="1:19" ht="11.25" customHeight="1">
      <c r="A415" s="7"/>
      <c r="B415" s="31" t="s">
        <v>512</v>
      </c>
      <c r="C415" s="7">
        <v>2.5</v>
      </c>
      <c r="D415" s="7">
        <v>6</v>
      </c>
      <c r="E415" s="7">
        <v>1263</v>
      </c>
      <c r="F415" s="71">
        <f t="shared" si="44"/>
        <v>3157.5</v>
      </c>
      <c r="G415" s="7"/>
      <c r="H415" s="7"/>
      <c r="I415" s="7"/>
      <c r="J415" s="7"/>
      <c r="K415" s="7"/>
      <c r="L415" s="7"/>
      <c r="M415" s="7"/>
      <c r="N415" s="7"/>
      <c r="O415" s="4"/>
      <c r="P415" s="4"/>
      <c r="Q415" s="4">
        <f t="shared" si="45"/>
        <v>3157.5</v>
      </c>
      <c r="R415" s="4"/>
      <c r="S415" s="4">
        <f t="shared" si="46"/>
        <v>37890</v>
      </c>
    </row>
    <row r="416" spans="1:19" ht="11.25" customHeight="1">
      <c r="A416" s="7"/>
      <c r="B416" s="41" t="s">
        <v>366</v>
      </c>
      <c r="C416" s="42">
        <v>9</v>
      </c>
      <c r="D416" s="42">
        <v>2</v>
      </c>
      <c r="E416" s="42">
        <v>1223</v>
      </c>
      <c r="F416" s="71">
        <f t="shared" si="44"/>
        <v>11007</v>
      </c>
      <c r="G416" s="42"/>
      <c r="H416" s="42"/>
      <c r="I416" s="42"/>
      <c r="J416" s="42"/>
      <c r="K416" s="42"/>
      <c r="L416" s="42"/>
      <c r="M416" s="42"/>
      <c r="N416" s="42"/>
      <c r="O416" s="43"/>
      <c r="P416" s="43"/>
      <c r="Q416" s="4">
        <f t="shared" si="45"/>
        <v>11007</v>
      </c>
      <c r="R416" s="43"/>
      <c r="S416" s="43">
        <f t="shared" si="46"/>
        <v>132084</v>
      </c>
    </row>
    <row r="417" spans="1:19" ht="11.25" customHeight="1">
      <c r="A417" s="7"/>
      <c r="B417" s="31" t="s">
        <v>367</v>
      </c>
      <c r="C417" s="7">
        <v>4</v>
      </c>
      <c r="D417" s="7">
        <v>1</v>
      </c>
      <c r="E417" s="7">
        <v>1218</v>
      </c>
      <c r="F417" s="71">
        <f t="shared" si="44"/>
        <v>4872</v>
      </c>
      <c r="G417" s="7"/>
      <c r="H417" s="7"/>
      <c r="I417" s="7"/>
      <c r="J417" s="7"/>
      <c r="K417" s="7"/>
      <c r="L417" s="7"/>
      <c r="M417" s="7"/>
      <c r="N417" s="7"/>
      <c r="O417" s="4"/>
      <c r="P417" s="4"/>
      <c r="Q417" s="4">
        <f t="shared" si="45"/>
        <v>4872</v>
      </c>
      <c r="R417" s="4"/>
      <c r="S417" s="4">
        <f t="shared" si="46"/>
        <v>58464</v>
      </c>
    </row>
    <row r="418" spans="1:19" ht="11.25" customHeight="1">
      <c r="A418" s="7"/>
      <c r="B418" s="31" t="s">
        <v>368</v>
      </c>
      <c r="C418" s="7">
        <v>1</v>
      </c>
      <c r="D418" s="7">
        <v>1</v>
      </c>
      <c r="E418" s="7">
        <v>1218</v>
      </c>
      <c r="F418" s="71">
        <f t="shared" si="44"/>
        <v>1218</v>
      </c>
      <c r="G418" s="7"/>
      <c r="H418" s="7"/>
      <c r="I418" s="7"/>
      <c r="J418" s="7"/>
      <c r="K418" s="7"/>
      <c r="L418" s="7"/>
      <c r="M418" s="7"/>
      <c r="N418" s="7"/>
      <c r="O418" s="4"/>
      <c r="P418" s="4"/>
      <c r="Q418" s="4">
        <f t="shared" si="45"/>
        <v>1218</v>
      </c>
      <c r="R418" s="4"/>
      <c r="S418" s="4">
        <f t="shared" si="46"/>
        <v>14616</v>
      </c>
    </row>
    <row r="419" spans="1:19" ht="35.25" customHeight="1">
      <c r="A419" s="7"/>
      <c r="B419" s="31" t="s">
        <v>430</v>
      </c>
      <c r="C419" s="7"/>
      <c r="D419" s="7"/>
      <c r="E419" s="7"/>
      <c r="F419" s="71"/>
      <c r="G419" s="7"/>
      <c r="H419" s="7"/>
      <c r="I419" s="7"/>
      <c r="J419" s="7"/>
      <c r="K419" s="7"/>
      <c r="L419" s="7"/>
      <c r="M419" s="7"/>
      <c r="N419" s="7"/>
      <c r="O419" s="4"/>
      <c r="P419" s="4"/>
      <c r="Q419" s="4"/>
      <c r="R419" s="4"/>
      <c r="S419" s="4"/>
    </row>
    <row r="420" spans="1:19" ht="11.25" customHeight="1">
      <c r="A420" s="7"/>
      <c r="B420" s="121" t="s">
        <v>215</v>
      </c>
      <c r="C420" s="7">
        <v>4</v>
      </c>
      <c r="D420" s="7">
        <v>2</v>
      </c>
      <c r="E420" s="7">
        <v>1223</v>
      </c>
      <c r="F420" s="71">
        <f>E420*C420</f>
        <v>4892</v>
      </c>
      <c r="G420" s="7"/>
      <c r="H420" s="7"/>
      <c r="I420" s="7"/>
      <c r="J420" s="7"/>
      <c r="K420" s="7"/>
      <c r="L420" s="7"/>
      <c r="M420" s="7"/>
      <c r="N420" s="7"/>
      <c r="O420" s="4"/>
      <c r="P420" s="4"/>
      <c r="Q420" s="4">
        <f>E420*C420+SUM(G420:O420)</f>
        <v>4892</v>
      </c>
      <c r="R420" s="4"/>
      <c r="S420" s="4">
        <f>Q420*$R$17</f>
        <v>58704</v>
      </c>
    </row>
    <row r="421" spans="1:19" ht="11.25" customHeight="1">
      <c r="A421" s="7"/>
      <c r="B421" s="121" t="s">
        <v>216</v>
      </c>
      <c r="C421" s="7">
        <v>4</v>
      </c>
      <c r="D421" s="7">
        <v>2</v>
      </c>
      <c r="E421" s="7">
        <v>1223</v>
      </c>
      <c r="F421" s="71">
        <f>E421*C421</f>
        <v>4892</v>
      </c>
      <c r="G421" s="7"/>
      <c r="H421" s="7"/>
      <c r="I421" s="7"/>
      <c r="J421" s="7"/>
      <c r="K421" s="7"/>
      <c r="L421" s="7"/>
      <c r="M421" s="7"/>
      <c r="N421" s="7"/>
      <c r="O421" s="4"/>
      <c r="P421" s="4"/>
      <c r="Q421" s="4">
        <f>E421*C421+SUM(G421:O421)</f>
        <v>4892</v>
      </c>
      <c r="R421" s="4"/>
      <c r="S421" s="4">
        <f>Q421*$R$17</f>
        <v>58704</v>
      </c>
    </row>
    <row r="422" spans="1:19" ht="11.25" customHeight="1">
      <c r="A422" s="8"/>
      <c r="B422" s="120" t="s">
        <v>214</v>
      </c>
      <c r="C422" s="8">
        <v>4</v>
      </c>
      <c r="D422" s="7">
        <v>2</v>
      </c>
      <c r="E422" s="7">
        <v>1223</v>
      </c>
      <c r="F422" s="71">
        <f>E422*C422</f>
        <v>4892</v>
      </c>
      <c r="G422" s="8"/>
      <c r="H422" s="8"/>
      <c r="I422" s="8"/>
      <c r="J422" s="8"/>
      <c r="K422" s="8"/>
      <c r="L422" s="8"/>
      <c r="M422" s="8"/>
      <c r="N422" s="8"/>
      <c r="O422" s="9"/>
      <c r="P422" s="4"/>
      <c r="Q422" s="4">
        <f>E422*C422+SUM(G422:O422)</f>
        <v>4892</v>
      </c>
      <c r="R422" s="4"/>
      <c r="S422" s="4">
        <f>Q422*$R$17</f>
        <v>58704</v>
      </c>
    </row>
    <row r="423" spans="1:19" ht="11.25" customHeight="1">
      <c r="A423" s="10"/>
      <c r="B423" s="26" t="s">
        <v>40</v>
      </c>
      <c r="C423" s="10">
        <f>SUM(C408:C422)</f>
        <v>48</v>
      </c>
      <c r="D423" s="10"/>
      <c r="E423" s="10"/>
      <c r="F423" s="72">
        <f>SUM(F408:F422)</f>
        <v>60093.5</v>
      </c>
      <c r="G423" s="10"/>
      <c r="H423" s="10"/>
      <c r="I423" s="10"/>
      <c r="J423" s="10"/>
      <c r="K423" s="10"/>
      <c r="L423" s="10"/>
      <c r="M423" s="10"/>
      <c r="N423" s="10"/>
      <c r="O423" s="11">
        <f>SUM(O408:O422)</f>
        <v>913.5</v>
      </c>
      <c r="P423" s="11">
        <f>SUM(P408:P422)</f>
        <v>913.5</v>
      </c>
      <c r="Q423" s="11">
        <f>SUM(Q408:Q422)</f>
        <v>61007</v>
      </c>
      <c r="R423" s="11">
        <f>SUM(R408:R422)</f>
        <v>0</v>
      </c>
      <c r="S423" s="11">
        <f>SUM(S408:S422)</f>
        <v>732084</v>
      </c>
    </row>
    <row r="424" spans="1:19" ht="11.25" customHeight="1">
      <c r="A424" s="3" t="s">
        <v>66</v>
      </c>
      <c r="B424" s="2" t="s">
        <v>135</v>
      </c>
      <c r="C424" s="3"/>
      <c r="D424" s="3"/>
      <c r="E424" s="5"/>
      <c r="F424" s="7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</row>
    <row r="425" spans="1:19" ht="11.25" customHeight="1">
      <c r="A425" s="7"/>
      <c r="B425" s="31" t="s">
        <v>96</v>
      </c>
      <c r="C425" s="7">
        <v>1</v>
      </c>
      <c r="D425" s="7">
        <v>9</v>
      </c>
      <c r="E425" s="4">
        <v>1474</v>
      </c>
      <c r="F425" s="71">
        <f>E425*C425</f>
        <v>1474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4">
        <f>E425*C425+SUM(G425:O425)</f>
        <v>1474</v>
      </c>
      <c r="R425" s="8"/>
      <c r="S425" s="4">
        <f>Q425*$R$17</f>
        <v>17688</v>
      </c>
    </row>
    <row r="426" spans="1:19" ht="11.25" customHeight="1">
      <c r="A426" s="7"/>
      <c r="B426" s="31" t="s">
        <v>340</v>
      </c>
      <c r="C426" s="7">
        <v>3</v>
      </c>
      <c r="D426" s="7">
        <v>1</v>
      </c>
      <c r="E426" s="7">
        <v>1218</v>
      </c>
      <c r="F426" s="71">
        <f>E426*C426</f>
        <v>3654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4">
        <f>E426*C426+SUM(G426:O426)</f>
        <v>3654</v>
      </c>
      <c r="R426" s="7"/>
      <c r="S426" s="4">
        <f>Q426*$R$17</f>
        <v>43848</v>
      </c>
    </row>
    <row r="427" spans="1:19" ht="36.75" customHeight="1">
      <c r="A427" s="8"/>
      <c r="B427" s="31" t="s">
        <v>431</v>
      </c>
      <c r="C427" s="8">
        <v>1</v>
      </c>
      <c r="D427" s="8">
        <v>2</v>
      </c>
      <c r="E427" s="8">
        <v>1223</v>
      </c>
      <c r="F427" s="71">
        <f>E427*C427</f>
        <v>1223</v>
      </c>
      <c r="G427" s="8"/>
      <c r="H427" s="8"/>
      <c r="I427" s="8"/>
      <c r="J427" s="8"/>
      <c r="K427" s="8"/>
      <c r="L427" s="8"/>
      <c r="M427" s="8"/>
      <c r="N427" s="8"/>
      <c r="O427" s="8"/>
      <c r="P427" s="7"/>
      <c r="Q427" s="4">
        <f>E427*C427+SUM(G427:O427)</f>
        <v>1223</v>
      </c>
      <c r="R427" s="7"/>
      <c r="S427" s="4">
        <f>Q427*$R$17</f>
        <v>14676</v>
      </c>
    </row>
    <row r="428" spans="1:19" ht="12" customHeight="1">
      <c r="A428" s="10"/>
      <c r="B428" s="26" t="s">
        <v>40</v>
      </c>
      <c r="C428" s="10">
        <f>SUM(C425:C427)</f>
        <v>5</v>
      </c>
      <c r="D428" s="10"/>
      <c r="E428" s="10"/>
      <c r="F428" s="72">
        <f>SUM(F425:F427)</f>
        <v>6351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>
        <f>SUM(Q425:Q427)</f>
        <v>6351</v>
      </c>
      <c r="R428" s="10">
        <f>SUM(R425:R427)</f>
        <v>0</v>
      </c>
      <c r="S428" s="10">
        <f>SUM(S425:S427)</f>
        <v>76212</v>
      </c>
    </row>
    <row r="429" spans="1:19" ht="11.25" customHeight="1">
      <c r="A429" s="3" t="s">
        <v>67</v>
      </c>
      <c r="B429" s="2" t="s">
        <v>136</v>
      </c>
      <c r="C429" s="3"/>
      <c r="D429" s="3"/>
      <c r="E429" s="5"/>
      <c r="F429" s="7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</row>
    <row r="430" spans="1:19" ht="11.25" customHeight="1">
      <c r="A430" s="7"/>
      <c r="B430" s="31" t="s">
        <v>137</v>
      </c>
      <c r="C430" s="7">
        <v>1</v>
      </c>
      <c r="D430" s="7">
        <v>9</v>
      </c>
      <c r="E430" s="4">
        <v>1474</v>
      </c>
      <c r="F430" s="71">
        <f>E430*C430</f>
        <v>1474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4">
        <f>E430*C430+SUM(G430:O430)</f>
        <v>1474</v>
      </c>
      <c r="R430" s="7"/>
      <c r="S430" s="4">
        <f>Q430*$R$17</f>
        <v>17688</v>
      </c>
    </row>
    <row r="431" spans="1:19" ht="11.25" customHeight="1">
      <c r="A431" s="7"/>
      <c r="B431" s="31" t="s">
        <v>513</v>
      </c>
      <c r="C431" s="7">
        <v>1</v>
      </c>
      <c r="D431" s="7"/>
      <c r="E431" s="57">
        <v>1253</v>
      </c>
      <c r="F431" s="71">
        <f>E431*C431</f>
        <v>1253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4">
        <f>E431*C431+SUM(G431:O431)</f>
        <v>1253</v>
      </c>
      <c r="R431" s="7"/>
      <c r="S431" s="4">
        <f>Q431*$R$17</f>
        <v>15036</v>
      </c>
    </row>
    <row r="432" spans="1:19" ht="11.25" customHeight="1">
      <c r="A432" s="7"/>
      <c r="B432" s="31" t="s">
        <v>138</v>
      </c>
      <c r="C432" s="7">
        <v>4</v>
      </c>
      <c r="D432" s="7">
        <v>2</v>
      </c>
      <c r="E432" s="4">
        <v>1223</v>
      </c>
      <c r="F432" s="71">
        <f>E432*C432</f>
        <v>4892</v>
      </c>
      <c r="G432" s="7"/>
      <c r="H432" s="7"/>
      <c r="I432" s="7"/>
      <c r="J432" s="7"/>
      <c r="K432" s="7"/>
      <c r="L432" s="7"/>
      <c r="M432" s="7"/>
      <c r="N432" s="7">
        <f>F432*0.072</f>
        <v>352.224</v>
      </c>
      <c r="O432" s="7"/>
      <c r="P432" s="4">
        <f>SUM(G432:O432)</f>
        <v>352.224</v>
      </c>
      <c r="Q432" s="4">
        <f>E432*C432+SUM(G432:O432)</f>
        <v>5244.224</v>
      </c>
      <c r="R432" s="7"/>
      <c r="S432" s="4">
        <f>Q432*$R$17</f>
        <v>62930.688</v>
      </c>
    </row>
    <row r="433" spans="1:19" ht="11.25" customHeight="1">
      <c r="A433" s="8"/>
      <c r="B433" s="27" t="s">
        <v>369</v>
      </c>
      <c r="C433" s="8">
        <v>79.5</v>
      </c>
      <c r="D433" s="8">
        <v>1</v>
      </c>
      <c r="E433" s="8">
        <v>1218</v>
      </c>
      <c r="F433" s="74">
        <f>E433*C433</f>
        <v>96831</v>
      </c>
      <c r="G433" s="8"/>
      <c r="H433" s="8"/>
      <c r="I433" s="8"/>
      <c r="J433" s="8"/>
      <c r="K433" s="8"/>
      <c r="L433" s="8"/>
      <c r="M433" s="8"/>
      <c r="N433" s="8">
        <f>F433*0.072</f>
        <v>6971.831999999999</v>
      </c>
      <c r="O433" s="8"/>
      <c r="P433" s="9">
        <f>SUM(G433:O433)</f>
        <v>6971.831999999999</v>
      </c>
      <c r="Q433" s="9">
        <f>E433*C433+SUM(G433:O433)</f>
        <v>103802.832</v>
      </c>
      <c r="R433" s="66"/>
      <c r="S433" s="9">
        <f>Q433*$R$17</f>
        <v>1245633.984</v>
      </c>
    </row>
    <row r="434" spans="1:19" ht="11.25" customHeight="1">
      <c r="A434" s="10"/>
      <c r="B434" s="26" t="s">
        <v>40</v>
      </c>
      <c r="C434" s="10">
        <f>SUM(C430:C433)</f>
        <v>85.5</v>
      </c>
      <c r="D434" s="10"/>
      <c r="E434" s="10"/>
      <c r="F434" s="72">
        <f>SUM(F430:F433)</f>
        <v>104450</v>
      </c>
      <c r="G434" s="10"/>
      <c r="H434" s="10"/>
      <c r="I434" s="10"/>
      <c r="J434" s="10"/>
      <c r="K434" s="10"/>
      <c r="L434" s="10"/>
      <c r="M434" s="10"/>
      <c r="N434" s="10">
        <f>SUM(N430:N433)</f>
        <v>7324.056</v>
      </c>
      <c r="O434" s="10"/>
      <c r="P434" s="11">
        <f>SUM(P430:P433)</f>
        <v>7324.056</v>
      </c>
      <c r="Q434" s="11">
        <f>SUM(Q430:Q433)</f>
        <v>111774.056</v>
      </c>
      <c r="R434" s="11">
        <f>SUM(R430:R433)</f>
        <v>0</v>
      </c>
      <c r="S434" s="11">
        <f>SUM(S430:S433)</f>
        <v>1341288.672</v>
      </c>
    </row>
    <row r="435" spans="1:19" ht="74.25" customHeight="1">
      <c r="A435" s="3" t="s">
        <v>68</v>
      </c>
      <c r="B435" s="75" t="s">
        <v>433</v>
      </c>
      <c r="C435" s="3"/>
      <c r="D435" s="3"/>
      <c r="E435" s="5"/>
      <c r="F435" s="7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</row>
    <row r="436" spans="1:19" ht="12.75">
      <c r="A436" s="7"/>
      <c r="B436" s="31" t="s">
        <v>392</v>
      </c>
      <c r="C436" s="7">
        <v>1</v>
      </c>
      <c r="D436" s="7">
        <v>9</v>
      </c>
      <c r="E436" s="4">
        <v>1474</v>
      </c>
      <c r="F436" s="71">
        <f>E436*C436</f>
        <v>1474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4">
        <f>E436*C436+SUM(G436:O436)</f>
        <v>1474</v>
      </c>
      <c r="R436" s="7"/>
      <c r="S436" s="4">
        <f>Q436*$R$17</f>
        <v>17688</v>
      </c>
    </row>
    <row r="437" spans="1:19" ht="12.75">
      <c r="A437" s="8"/>
      <c r="B437" s="27" t="s">
        <v>51</v>
      </c>
      <c r="C437" s="8">
        <v>1</v>
      </c>
      <c r="D437" s="8">
        <v>7</v>
      </c>
      <c r="E437" s="4">
        <v>1312</v>
      </c>
      <c r="F437" s="71">
        <f>E437*C437</f>
        <v>1312</v>
      </c>
      <c r="G437" s="8"/>
      <c r="H437" s="8"/>
      <c r="I437" s="8"/>
      <c r="J437" s="8"/>
      <c r="K437" s="8"/>
      <c r="L437" s="8"/>
      <c r="M437" s="8"/>
      <c r="N437" s="8"/>
      <c r="O437" s="8"/>
      <c r="P437" s="7"/>
      <c r="Q437" s="4">
        <f>E437*C437+SUM(G437:O437)</f>
        <v>1312</v>
      </c>
      <c r="R437" s="7"/>
      <c r="S437" s="4">
        <f>Q437*$R$17</f>
        <v>15744</v>
      </c>
    </row>
    <row r="438" spans="1:19" ht="12.75">
      <c r="A438" s="10"/>
      <c r="B438" s="26" t="s">
        <v>40</v>
      </c>
      <c r="C438" s="10">
        <f>SUM(C436:C437)</f>
        <v>2</v>
      </c>
      <c r="D438" s="10"/>
      <c r="E438" s="11"/>
      <c r="F438" s="72">
        <f>SUM(F436:F437)</f>
        <v>2786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>
        <f>SUM(Q436:Q437)</f>
        <v>2786</v>
      </c>
      <c r="R438" s="11">
        <f>SUM(R436:R437)</f>
        <v>0</v>
      </c>
      <c r="S438" s="11">
        <f>SUM(S436:S437)</f>
        <v>33432</v>
      </c>
    </row>
    <row r="439" spans="1:19" ht="12.75">
      <c r="A439" s="3" t="s">
        <v>70</v>
      </c>
      <c r="B439" s="2" t="s">
        <v>274</v>
      </c>
      <c r="C439" s="3"/>
      <c r="D439" s="3"/>
      <c r="E439" s="5"/>
      <c r="F439" s="7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</row>
    <row r="440" spans="1:19" ht="12.75">
      <c r="A440" s="8"/>
      <c r="B440" s="27" t="s">
        <v>282</v>
      </c>
      <c r="C440" s="8">
        <v>1</v>
      </c>
      <c r="D440" s="8">
        <v>8</v>
      </c>
      <c r="E440" s="9">
        <v>1397</v>
      </c>
      <c r="F440" s="74">
        <f>E440*C440</f>
        <v>1397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9">
        <f>E440*C440+SUM(G440:O440)</f>
        <v>1397</v>
      </c>
      <c r="R440" s="8"/>
      <c r="S440" s="9">
        <f>Q440*$R$17</f>
        <v>16764</v>
      </c>
    </row>
    <row r="441" spans="1:19" ht="12.75">
      <c r="A441" s="10"/>
      <c r="B441" s="26" t="s">
        <v>40</v>
      </c>
      <c r="C441" s="10">
        <f>SUM(C440)</f>
        <v>1</v>
      </c>
      <c r="D441" s="10"/>
      <c r="E441" s="10"/>
      <c r="F441" s="72">
        <f>SUM(F440)</f>
        <v>1397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>
        <f>SUM(Q440)</f>
        <v>1397</v>
      </c>
      <c r="R441" s="10">
        <f>SUM(R440)</f>
        <v>0</v>
      </c>
      <c r="S441" s="10">
        <f>SUM(S440)</f>
        <v>16764</v>
      </c>
    </row>
    <row r="442" spans="1:19" ht="12.75" customHeight="1">
      <c r="A442" s="3" t="s">
        <v>71</v>
      </c>
      <c r="B442" s="2" t="s">
        <v>294</v>
      </c>
      <c r="C442" s="3"/>
      <c r="D442" s="3"/>
      <c r="E442" s="5"/>
      <c r="F442" s="7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</row>
    <row r="443" spans="1:19" ht="12.75" customHeight="1">
      <c r="A443" s="7"/>
      <c r="B443" s="31" t="s">
        <v>96</v>
      </c>
      <c r="C443" s="7">
        <v>1</v>
      </c>
      <c r="D443" s="7">
        <v>10</v>
      </c>
      <c r="E443" s="4">
        <v>1551</v>
      </c>
      <c r="F443" s="71">
        <f aca="true" t="shared" si="47" ref="F443:F448">E443*C443</f>
        <v>1551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4">
        <f aca="true" t="shared" si="48" ref="Q443:Q448">E443*C443+SUM(G443:O443)</f>
        <v>1551</v>
      </c>
      <c r="R443" s="7"/>
      <c r="S443" s="4">
        <f aca="true" t="shared" si="49" ref="S443:S448">Q443*$R$17</f>
        <v>18612</v>
      </c>
    </row>
    <row r="444" spans="1:19" ht="12.75" customHeight="1">
      <c r="A444" s="7"/>
      <c r="B444" s="31" t="s">
        <v>514</v>
      </c>
      <c r="C444" s="7">
        <v>1</v>
      </c>
      <c r="D444" s="7"/>
      <c r="E444" s="4">
        <v>1473</v>
      </c>
      <c r="F444" s="57">
        <f t="shared" si="47"/>
        <v>1473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4">
        <f t="shared" si="48"/>
        <v>1473</v>
      </c>
      <c r="R444" s="7"/>
      <c r="S444" s="4">
        <f t="shared" si="49"/>
        <v>17676</v>
      </c>
    </row>
    <row r="445" spans="1:19" ht="12.75" customHeight="1">
      <c r="A445" s="7"/>
      <c r="B445" s="31" t="s">
        <v>420</v>
      </c>
      <c r="C445" s="7">
        <v>1</v>
      </c>
      <c r="D445" s="7">
        <v>7</v>
      </c>
      <c r="E445" s="4">
        <v>1312</v>
      </c>
      <c r="F445" s="57">
        <f t="shared" si="47"/>
        <v>1312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4">
        <f t="shared" si="48"/>
        <v>1312</v>
      </c>
      <c r="R445" s="7"/>
      <c r="S445" s="4">
        <f t="shared" si="49"/>
        <v>15744</v>
      </c>
    </row>
    <row r="446" spans="1:19" ht="24" customHeight="1">
      <c r="A446" s="7"/>
      <c r="B446" s="31" t="s">
        <v>295</v>
      </c>
      <c r="C446" s="7">
        <v>1</v>
      </c>
      <c r="D446" s="7">
        <v>8</v>
      </c>
      <c r="E446" s="4">
        <v>1397</v>
      </c>
      <c r="F446" s="57">
        <f t="shared" si="47"/>
        <v>1397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4">
        <f t="shared" si="48"/>
        <v>1397</v>
      </c>
      <c r="R446" s="7"/>
      <c r="S446" s="4">
        <f t="shared" si="49"/>
        <v>16764</v>
      </c>
    </row>
    <row r="447" spans="1:19" ht="24" customHeight="1">
      <c r="A447" s="7"/>
      <c r="B447" s="31" t="s">
        <v>296</v>
      </c>
      <c r="C447" s="7">
        <v>1</v>
      </c>
      <c r="D447" s="7">
        <v>7</v>
      </c>
      <c r="E447" s="4">
        <v>1312</v>
      </c>
      <c r="F447" s="57">
        <f t="shared" si="47"/>
        <v>1312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4">
        <f t="shared" si="48"/>
        <v>1312</v>
      </c>
      <c r="R447" s="7"/>
      <c r="S447" s="4">
        <f t="shared" si="49"/>
        <v>15744</v>
      </c>
    </row>
    <row r="448" spans="1:19" ht="24" customHeight="1">
      <c r="A448" s="7"/>
      <c r="B448" s="31" t="s">
        <v>455</v>
      </c>
      <c r="C448" s="7">
        <v>1</v>
      </c>
      <c r="D448" s="7">
        <v>10</v>
      </c>
      <c r="E448" s="4">
        <v>1551</v>
      </c>
      <c r="F448" s="71">
        <f t="shared" si="47"/>
        <v>1551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4">
        <f t="shared" si="48"/>
        <v>1551</v>
      </c>
      <c r="R448" s="7"/>
      <c r="S448" s="4">
        <f t="shared" si="49"/>
        <v>18612</v>
      </c>
    </row>
    <row r="449" spans="1:19" ht="12.75" customHeight="1">
      <c r="A449" s="10"/>
      <c r="B449" s="26" t="s">
        <v>40</v>
      </c>
      <c r="C449" s="10">
        <f>SUM(C443:C448)</f>
        <v>6</v>
      </c>
      <c r="D449" s="10"/>
      <c r="E449" s="10"/>
      <c r="F449" s="72">
        <f>SUM(F443:F448)</f>
        <v>8596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>
        <f>SUM(Q443:Q448)</f>
        <v>8596</v>
      </c>
      <c r="R449" s="10">
        <f>SUM(R443:R448)</f>
        <v>0</v>
      </c>
      <c r="S449" s="10">
        <f>SUM(S443:S448)</f>
        <v>103152</v>
      </c>
    </row>
    <row r="450" spans="1:19" ht="12.75">
      <c r="A450" s="3" t="s">
        <v>72</v>
      </c>
      <c r="B450" s="2" t="s">
        <v>189</v>
      </c>
      <c r="C450" s="3"/>
      <c r="D450" s="3"/>
      <c r="E450" s="3"/>
      <c r="F450" s="7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37.5" customHeight="1">
      <c r="A451" s="7"/>
      <c r="B451" s="31" t="s">
        <v>515</v>
      </c>
      <c r="C451" s="7"/>
      <c r="D451" s="7"/>
      <c r="E451" s="7"/>
      <c r="F451" s="7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4"/>
      <c r="R451" s="7"/>
      <c r="S451" s="4"/>
    </row>
    <row r="452" spans="1:19" ht="12.75">
      <c r="A452" s="8"/>
      <c r="B452" s="120" t="s">
        <v>216</v>
      </c>
      <c r="C452" s="8">
        <v>1</v>
      </c>
      <c r="D452" s="8">
        <v>2</v>
      </c>
      <c r="E452" s="9">
        <v>1223</v>
      </c>
      <c r="F452" s="7">
        <f>E452*C452</f>
        <v>1223</v>
      </c>
      <c r="G452" s="8"/>
      <c r="H452" s="8"/>
      <c r="I452" s="8"/>
      <c r="J452" s="8"/>
      <c r="K452" s="8"/>
      <c r="L452" s="8"/>
      <c r="M452" s="8"/>
      <c r="N452" s="8"/>
      <c r="O452" s="9"/>
      <c r="P452" s="4"/>
      <c r="Q452" s="4">
        <f>E452*C452+SUM(G452:O452)</f>
        <v>1223</v>
      </c>
      <c r="R452" s="44"/>
      <c r="S452" s="4">
        <f>Q452*$R$17</f>
        <v>14676</v>
      </c>
    </row>
    <row r="453" spans="1:19" ht="12.75">
      <c r="A453" s="10"/>
      <c r="B453" s="26" t="s">
        <v>40</v>
      </c>
      <c r="C453" s="10">
        <f>SUM(C452:C452)</f>
        <v>1</v>
      </c>
      <c r="D453" s="10"/>
      <c r="E453" s="10"/>
      <c r="F453" s="10">
        <f>SUM(F452:F452)</f>
        <v>1223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>
        <f>SUM(Q452:Q452)</f>
        <v>1223</v>
      </c>
      <c r="R453" s="10">
        <f>SUM(R452:R452)</f>
        <v>0</v>
      </c>
      <c r="S453" s="10">
        <f>SUM(S452:S452)</f>
        <v>14676</v>
      </c>
    </row>
    <row r="454" spans="1:19" ht="12.75">
      <c r="A454" s="3" t="s">
        <v>74</v>
      </c>
      <c r="B454" s="2" t="s">
        <v>158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8"/>
      <c r="B455" s="27" t="s">
        <v>159</v>
      </c>
      <c r="C455" s="8">
        <v>2</v>
      </c>
      <c r="D455" s="8">
        <v>2</v>
      </c>
      <c r="E455" s="59">
        <v>1223</v>
      </c>
      <c r="F455" s="7">
        <f>E455*C455</f>
        <v>2446</v>
      </c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4">
        <f>E455*C455+SUM(G455:O455)</f>
        <v>2446</v>
      </c>
      <c r="R455" s="44"/>
      <c r="S455" s="4">
        <f>Q455*$R$17</f>
        <v>29352</v>
      </c>
    </row>
    <row r="456" spans="1:19" ht="12.75">
      <c r="A456" s="10"/>
      <c r="B456" s="26" t="s">
        <v>40</v>
      </c>
      <c r="C456" s="10">
        <f>SUM(C455)</f>
        <v>2</v>
      </c>
      <c r="D456" s="10"/>
      <c r="E456" s="10"/>
      <c r="F456" s="10">
        <f>SUM(F455:F455)</f>
        <v>2446</v>
      </c>
      <c r="G456" s="3"/>
      <c r="H456" s="3"/>
      <c r="I456" s="3"/>
      <c r="J456" s="3"/>
      <c r="K456" s="3"/>
      <c r="L456" s="3"/>
      <c r="M456" s="3"/>
      <c r="N456" s="3"/>
      <c r="O456" s="3"/>
      <c r="P456" s="10"/>
      <c r="Q456" s="10">
        <f>SUM(Q455:Q455)</f>
        <v>2446</v>
      </c>
      <c r="R456" s="10">
        <f>SUM(R455:R455)</f>
        <v>0</v>
      </c>
      <c r="S456" s="10">
        <f>SUM(S455:S455)</f>
        <v>29352</v>
      </c>
    </row>
    <row r="457" spans="1:21" ht="12.75">
      <c r="A457" s="10"/>
      <c r="B457" s="26" t="s">
        <v>370</v>
      </c>
      <c r="C457" s="10">
        <f>C300+C310+C313+C316+C320+C334+C340+C347+C352+C361+C366+C377+C382+C393+C406+C423+C428+C434+C438+C449+C441+C453+C456</f>
        <v>413.5</v>
      </c>
      <c r="D457" s="10"/>
      <c r="E457" s="10"/>
      <c r="F457" s="10">
        <f>F300+F310+F313+F316+F320+F334+F340+F347+F352+F361+F366+F377+F382+F393+F406+F423+F428+F434+F438+F449+F441+F453+F456</f>
        <v>537045.5</v>
      </c>
      <c r="G457" s="10">
        <f>G300+G310+G313+G316+G320+G334+G340+G347+G352+G361+G366+G377+G382+G393+G406+G423+G428+G434+G438+G449+G441+G453+G456</f>
        <v>20074</v>
      </c>
      <c r="H457" s="10"/>
      <c r="I457" s="10">
        <f>I300+I310+I313+I316+I320+I334+I340+I347+I352+I361+I366+I377+I382+I393+I406+I423+I428+I434+I438+I449+I441+I453+I456</f>
        <v>6347</v>
      </c>
      <c r="J457" s="10"/>
      <c r="K457" s="10"/>
      <c r="L457" s="10"/>
      <c r="M457" s="10"/>
      <c r="N457" s="10">
        <f aca="true" t="shared" si="50" ref="N457:S457">N300+N310+N313+N316+N320+N334+N340+N347+N352+N361+N366+N377+N382+N393+N406+N423+N428+N434+N438+N449+N441+N453+N456</f>
        <v>7324.056</v>
      </c>
      <c r="O457" s="11">
        <f t="shared" si="50"/>
        <v>6577.200000000001</v>
      </c>
      <c r="P457" s="11">
        <f t="shared" si="50"/>
        <v>40322.255999999994</v>
      </c>
      <c r="Q457" s="11">
        <f t="shared" si="50"/>
        <v>577367.756</v>
      </c>
      <c r="R457" s="11">
        <f t="shared" si="50"/>
        <v>0</v>
      </c>
      <c r="S457" s="11">
        <f t="shared" si="50"/>
        <v>6928413.072000001</v>
      </c>
      <c r="T457" s="133"/>
      <c r="U457" s="134"/>
    </row>
    <row r="458" spans="1:21" ht="12" customHeight="1">
      <c r="A458" s="200" t="s">
        <v>325</v>
      </c>
      <c r="B458" s="201"/>
      <c r="C458" s="22">
        <f>C51+C291+C457</f>
        <v>878.3</v>
      </c>
      <c r="D458" s="11"/>
      <c r="E458" s="11"/>
      <c r="F458" s="11">
        <f aca="true" t="shared" si="51" ref="F458:R458">F51+F291+F457</f>
        <v>1601351.6</v>
      </c>
      <c r="G458" s="11">
        <f t="shared" si="51"/>
        <v>20074</v>
      </c>
      <c r="H458" s="11">
        <f t="shared" si="51"/>
        <v>4475.225</v>
      </c>
      <c r="I458" s="11">
        <f t="shared" si="51"/>
        <v>197543.28999999995</v>
      </c>
      <c r="J458" s="11">
        <f t="shared" si="51"/>
        <v>106750.07500000001</v>
      </c>
      <c r="K458" s="11">
        <f t="shared" si="51"/>
        <v>153378.27000000002</v>
      </c>
      <c r="L458" s="11">
        <f t="shared" si="51"/>
        <v>1502.96</v>
      </c>
      <c r="M458" s="11">
        <f t="shared" si="51"/>
        <v>11787.7</v>
      </c>
      <c r="N458" s="11">
        <f t="shared" si="51"/>
        <v>7324.056</v>
      </c>
      <c r="O458" s="11">
        <f t="shared" si="51"/>
        <v>7536.360000000001</v>
      </c>
      <c r="P458" s="11">
        <f t="shared" si="51"/>
        <v>510371.9359999999</v>
      </c>
      <c r="Q458" s="11">
        <f t="shared" si="51"/>
        <v>2111723.5360000003</v>
      </c>
      <c r="R458" s="11">
        <f t="shared" si="51"/>
        <v>0</v>
      </c>
      <c r="S458" s="11">
        <f>S51+S291+S457</f>
        <v>25340682.431999996</v>
      </c>
      <c r="T458" s="119"/>
      <c r="U458" s="118"/>
    </row>
    <row r="459" spans="1:21" ht="12" customHeight="1">
      <c r="A459" s="116" t="s">
        <v>417</v>
      </c>
      <c r="B459" s="117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>
        <f>87200</f>
        <v>87200</v>
      </c>
      <c r="R459" s="11"/>
      <c r="S459" s="4">
        <f>Q459*$R$17</f>
        <v>1046400</v>
      </c>
      <c r="T459" s="12"/>
      <c r="U459" s="118"/>
    </row>
    <row r="460" spans="1:21" ht="12" customHeight="1">
      <c r="A460" s="179" t="s">
        <v>418</v>
      </c>
      <c r="B460" s="178"/>
      <c r="C460" s="11"/>
      <c r="D460" s="22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2"/>
      <c r="U460" s="12"/>
    </row>
    <row r="461" spans="1:21" ht="12.75" customHeight="1">
      <c r="A461" s="178" t="s">
        <v>458</v>
      </c>
      <c r="B461" s="181"/>
      <c r="C461" s="11"/>
      <c r="D461" s="22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>
        <f>F23+F46+F48+F406</f>
        <v>864335.6</v>
      </c>
      <c r="T461" s="12"/>
      <c r="U461" s="12"/>
    </row>
    <row r="462" spans="1:22" ht="38.25" customHeight="1">
      <c r="A462" s="165" t="s">
        <v>445</v>
      </c>
      <c r="B462" s="166"/>
      <c r="C462" s="11"/>
      <c r="D462" s="22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9"/>
      <c r="R462" s="9"/>
      <c r="S462" s="4"/>
      <c r="T462" s="12"/>
      <c r="U462" s="12"/>
      <c r="V462" s="12"/>
    </row>
    <row r="463" spans="1:22" ht="12.75" customHeight="1">
      <c r="A463" s="167" t="s">
        <v>150</v>
      </c>
      <c r="B463" s="168"/>
      <c r="C463" s="22">
        <f>SUM(C458:C462)</f>
        <v>878.3</v>
      </c>
      <c r="D463" s="22"/>
      <c r="E463" s="22"/>
      <c r="F463" s="11">
        <f aca="true" t="shared" si="52" ref="F463:R463">SUM(F458:F462)</f>
        <v>1601351.6</v>
      </c>
      <c r="G463" s="11">
        <f t="shared" si="52"/>
        <v>20074</v>
      </c>
      <c r="H463" s="11">
        <f t="shared" si="52"/>
        <v>4475.225</v>
      </c>
      <c r="I463" s="11">
        <f t="shared" si="52"/>
        <v>197543.28999999995</v>
      </c>
      <c r="J463" s="11">
        <f t="shared" si="52"/>
        <v>106750.07500000001</v>
      </c>
      <c r="K463" s="11">
        <f t="shared" si="52"/>
        <v>153378.27000000002</v>
      </c>
      <c r="L463" s="11">
        <f t="shared" si="52"/>
        <v>1502.96</v>
      </c>
      <c r="M463" s="11">
        <f t="shared" si="52"/>
        <v>11787.7</v>
      </c>
      <c r="N463" s="11">
        <f t="shared" si="52"/>
        <v>7324.056</v>
      </c>
      <c r="O463" s="11">
        <f t="shared" si="52"/>
        <v>7536.360000000001</v>
      </c>
      <c r="P463" s="11">
        <f t="shared" si="52"/>
        <v>510371.9359999999</v>
      </c>
      <c r="Q463" s="109">
        <f t="shared" si="52"/>
        <v>2198923.5360000003</v>
      </c>
      <c r="R463" s="11">
        <f t="shared" si="52"/>
        <v>0</v>
      </c>
      <c r="S463" s="11">
        <f>SUM(S458:S462)</f>
        <v>27251418.031999998</v>
      </c>
      <c r="T463" s="12"/>
      <c r="U463" s="12"/>
      <c r="V463" s="12"/>
    </row>
    <row r="464" spans="1:21" ht="19.5" customHeight="1">
      <c r="A464" s="157" t="s">
        <v>151</v>
      </c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9"/>
      <c r="T464" s="12">
        <v>2165900</v>
      </c>
      <c r="U464" s="12">
        <v>26961000</v>
      </c>
    </row>
    <row r="465" spans="1:21" ht="19.5" customHeight="1">
      <c r="A465" s="157" t="s">
        <v>5</v>
      </c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9"/>
      <c r="T465" s="12"/>
      <c r="U465" s="12"/>
    </row>
    <row r="466" spans="1:20" ht="25.5" customHeight="1">
      <c r="A466" s="10">
        <v>1</v>
      </c>
      <c r="B466" s="20" t="s">
        <v>517</v>
      </c>
      <c r="C466" s="68"/>
      <c r="D466" s="68"/>
      <c r="E466" s="68"/>
      <c r="F466" s="68"/>
      <c r="G466" s="11">
        <f>E17*C17*0.5</f>
        <v>1857.5</v>
      </c>
      <c r="H466" s="68"/>
      <c r="I466" s="69"/>
      <c r="J466" s="68"/>
      <c r="K466" s="68"/>
      <c r="L466" s="68"/>
      <c r="M466" s="68"/>
      <c r="N466" s="68"/>
      <c r="O466" s="68"/>
      <c r="P466" s="11">
        <f>SUM(G466:O466)</f>
        <v>1857.5</v>
      </c>
      <c r="Q466" s="11">
        <f>E466*C466+SUM(G466:O466)</f>
        <v>1857.5</v>
      </c>
      <c r="R466" s="11"/>
      <c r="S466" s="9">
        <f>Q466*$R$17</f>
        <v>22290</v>
      </c>
      <c r="T466" s="12"/>
    </row>
    <row r="467" spans="1:21" ht="25.5" customHeight="1">
      <c r="A467" s="10">
        <v>2</v>
      </c>
      <c r="B467" s="26" t="s">
        <v>516</v>
      </c>
      <c r="C467" s="10">
        <v>1</v>
      </c>
      <c r="D467" s="10"/>
      <c r="E467" s="10">
        <v>3344</v>
      </c>
      <c r="F467" s="10">
        <f>E467*C467</f>
        <v>3344</v>
      </c>
      <c r="G467" s="11">
        <f>E467*C467*0.5</f>
        <v>1672</v>
      </c>
      <c r="H467" s="11">
        <f>F467*0.2</f>
        <v>668.8000000000001</v>
      </c>
      <c r="I467" s="11">
        <f>E467*C467*0.3</f>
        <v>1003.1999999999999</v>
      </c>
      <c r="J467" s="11">
        <f>E467*C467*0.25</f>
        <v>836</v>
      </c>
      <c r="K467" s="11">
        <f>E467*C467*0.33</f>
        <v>1103.52</v>
      </c>
      <c r="L467" s="10"/>
      <c r="M467" s="10"/>
      <c r="N467" s="10"/>
      <c r="O467" s="10"/>
      <c r="P467" s="11">
        <f>SUM(G467:O467)</f>
        <v>5283.52</v>
      </c>
      <c r="Q467" s="11">
        <f>E467*C467+SUM(G467:O467)</f>
        <v>8627.52</v>
      </c>
      <c r="R467" s="11"/>
      <c r="S467" s="11">
        <f>Q467*$R$17</f>
        <v>103530.24</v>
      </c>
      <c r="T467" s="12"/>
      <c r="U467" s="12"/>
    </row>
    <row r="468" spans="1:20" ht="12.75" customHeight="1">
      <c r="A468" s="10">
        <v>3</v>
      </c>
      <c r="B468" s="26" t="s">
        <v>439</v>
      </c>
      <c r="C468" s="10">
        <v>1</v>
      </c>
      <c r="D468" s="10"/>
      <c r="E468" s="10">
        <v>3344</v>
      </c>
      <c r="F468" s="10">
        <f>E468*C468</f>
        <v>3344</v>
      </c>
      <c r="G468" s="11">
        <f>E468*C468*0.5</f>
        <v>1672</v>
      </c>
      <c r="H468" s="11"/>
      <c r="I468" s="11">
        <f>E468*C468*0.1</f>
        <v>334.40000000000003</v>
      </c>
      <c r="J468" s="11">
        <f>E468*C468*0.25</f>
        <v>836</v>
      </c>
      <c r="K468" s="11">
        <f>E468*C468*0.25</f>
        <v>836</v>
      </c>
      <c r="L468" s="10"/>
      <c r="M468" s="10"/>
      <c r="N468" s="10"/>
      <c r="O468" s="10"/>
      <c r="P468" s="11">
        <f>SUM(G468:O468)</f>
        <v>3678.4</v>
      </c>
      <c r="Q468" s="11">
        <f>E468*C468+SUM(G468:O468)</f>
        <v>7022.4</v>
      </c>
      <c r="R468" s="11"/>
      <c r="S468" s="9">
        <f>Q468*$R$17</f>
        <v>84268.79999999999</v>
      </c>
      <c r="T468" s="12"/>
    </row>
    <row r="469" spans="1:20" ht="12.75" customHeight="1">
      <c r="A469" s="10"/>
      <c r="B469" s="26" t="s">
        <v>12</v>
      </c>
      <c r="C469" s="10"/>
      <c r="D469" s="10"/>
      <c r="E469" s="10"/>
      <c r="F469" s="10"/>
      <c r="G469" s="11">
        <f>3280*0.5*3</f>
        <v>4920</v>
      </c>
      <c r="H469" s="10"/>
      <c r="I469" s="10"/>
      <c r="J469" s="10"/>
      <c r="K469" s="10"/>
      <c r="L469" s="10"/>
      <c r="M469" s="10"/>
      <c r="N469" s="10"/>
      <c r="O469" s="10"/>
      <c r="P469" s="11">
        <f>SUM(G469:O469)</f>
        <v>4920</v>
      </c>
      <c r="Q469" s="11">
        <f>E469*C469+SUM(G469:O469)</f>
        <v>4920</v>
      </c>
      <c r="R469" s="11"/>
      <c r="S469" s="9">
        <f>Q469*$R$17</f>
        <v>59040</v>
      </c>
      <c r="T469" s="12"/>
    </row>
    <row r="470" spans="1:20" ht="12.75" customHeight="1">
      <c r="A470" s="10"/>
      <c r="B470" s="26" t="s">
        <v>152</v>
      </c>
      <c r="C470" s="10">
        <f>SUM(C466:C469)</f>
        <v>2</v>
      </c>
      <c r="D470" s="10"/>
      <c r="E470" s="10"/>
      <c r="F470" s="10">
        <f aca="true" t="shared" si="53" ref="F470:K470">SUM(F466:F469)</f>
        <v>6688</v>
      </c>
      <c r="G470" s="11">
        <f t="shared" si="53"/>
        <v>10121.5</v>
      </c>
      <c r="H470" s="11">
        <f t="shared" si="53"/>
        <v>668.8000000000001</v>
      </c>
      <c r="I470" s="11">
        <f t="shared" si="53"/>
        <v>1337.6</v>
      </c>
      <c r="J470" s="11">
        <f t="shared" si="53"/>
        <v>1672</v>
      </c>
      <c r="K470" s="11">
        <f t="shared" si="53"/>
        <v>1939.52</v>
      </c>
      <c r="L470" s="11"/>
      <c r="M470" s="11"/>
      <c r="N470" s="11"/>
      <c r="O470" s="11"/>
      <c r="P470" s="11">
        <f>SUM(P466:P469)</f>
        <v>15739.42</v>
      </c>
      <c r="Q470" s="11">
        <f>SUM(Q466:Q469)</f>
        <v>22427.42</v>
      </c>
      <c r="R470" s="11">
        <f>SUM(R466:R469)</f>
        <v>0</v>
      </c>
      <c r="S470" s="11">
        <f>SUM(S466:S469)</f>
        <v>269129.04</v>
      </c>
      <c r="T470" s="12"/>
    </row>
    <row r="471" spans="1:20" ht="15" customHeight="1">
      <c r="A471" s="157" t="s">
        <v>303</v>
      </c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9"/>
      <c r="T471" s="12"/>
    </row>
    <row r="472" spans="1:20" ht="12.75" customHeight="1">
      <c r="A472" s="7">
        <v>1</v>
      </c>
      <c r="B472" s="45" t="s">
        <v>518</v>
      </c>
      <c r="C472" s="47">
        <v>4.75</v>
      </c>
      <c r="D472" s="4">
        <v>20</v>
      </c>
      <c r="E472" s="7">
        <v>3101</v>
      </c>
      <c r="F472" s="7">
        <f aca="true" t="shared" si="54" ref="F472:F483">E472*C472</f>
        <v>14729.75</v>
      </c>
      <c r="G472" s="7"/>
      <c r="H472" s="4">
        <f>E472*0.25</f>
        <v>775.25</v>
      </c>
      <c r="I472" s="4">
        <f>E472*C472*0.3</f>
        <v>4418.925</v>
      </c>
      <c r="J472" s="4">
        <f>E472*C472*0.25</f>
        <v>3682.4375</v>
      </c>
      <c r="K472" s="4">
        <f>E472*C472*0.33</f>
        <v>4860.8175</v>
      </c>
      <c r="L472" s="7"/>
      <c r="M472" s="7"/>
      <c r="N472" s="7"/>
      <c r="O472" s="7"/>
      <c r="P472" s="4">
        <f aca="true" t="shared" si="55" ref="P472:P483">SUM(G472:O472)</f>
        <v>13737.43</v>
      </c>
      <c r="Q472" s="5">
        <f aca="true" t="shared" si="56" ref="Q472:Q483">E472*C472+SUM(G472:O472)</f>
        <v>28467.18</v>
      </c>
      <c r="R472" s="46"/>
      <c r="S472" s="5">
        <f aca="true" t="shared" si="57" ref="S472:S483">Q472*$R$17</f>
        <v>341606.16000000003</v>
      </c>
      <c r="T472" s="12"/>
    </row>
    <row r="473" spans="1:20" ht="12.75" customHeight="1">
      <c r="A473" s="7">
        <f aca="true" t="shared" si="58" ref="A473:A483">A472+1</f>
        <v>2</v>
      </c>
      <c r="B473" s="31" t="s">
        <v>217</v>
      </c>
      <c r="C473" s="47">
        <f>49.25</f>
        <v>49.25</v>
      </c>
      <c r="D473" s="7">
        <v>19</v>
      </c>
      <c r="E473" s="7">
        <v>2914</v>
      </c>
      <c r="F473" s="7">
        <f t="shared" si="54"/>
        <v>143514.5</v>
      </c>
      <c r="G473" s="47"/>
      <c r="H473" s="4">
        <f>E473*2.25*0.2</f>
        <v>1311.3000000000002</v>
      </c>
      <c r="I473" s="4">
        <f>F473*0.15</f>
        <v>21527.175</v>
      </c>
      <c r="J473" s="4">
        <f>F473*0.15</f>
        <v>21527.175</v>
      </c>
      <c r="K473" s="4">
        <f>E473*C473*0.25</f>
        <v>35878.625</v>
      </c>
      <c r="L473" s="7"/>
      <c r="M473" s="4">
        <f>E473*1*0.3</f>
        <v>874.1999999999999</v>
      </c>
      <c r="N473" s="7"/>
      <c r="O473" s="7"/>
      <c r="P473" s="4">
        <f t="shared" si="55"/>
        <v>81118.47499999999</v>
      </c>
      <c r="Q473" s="4">
        <f t="shared" si="56"/>
        <v>224632.97499999998</v>
      </c>
      <c r="R473" s="4"/>
      <c r="S473" s="4">
        <f t="shared" si="57"/>
        <v>2695595.6999999997</v>
      </c>
      <c r="T473" s="12"/>
    </row>
    <row r="474" spans="1:20" ht="12.75" customHeight="1">
      <c r="A474" s="7">
        <f t="shared" si="58"/>
        <v>3</v>
      </c>
      <c r="B474" s="31" t="s">
        <v>474</v>
      </c>
      <c r="C474" s="47">
        <v>6</v>
      </c>
      <c r="D474" s="7">
        <v>19</v>
      </c>
      <c r="E474" s="7">
        <v>2914</v>
      </c>
      <c r="F474" s="7">
        <f t="shared" si="54"/>
        <v>17484</v>
      </c>
      <c r="G474" s="44"/>
      <c r="H474" s="7"/>
      <c r="I474" s="4">
        <f>E474*C474*0.1</f>
        <v>1748.4</v>
      </c>
      <c r="J474" s="4">
        <f>E474*5.25*0.15</f>
        <v>2294.775</v>
      </c>
      <c r="K474" s="65"/>
      <c r="L474" s="7"/>
      <c r="M474" s="7"/>
      <c r="N474" s="7"/>
      <c r="O474" s="7"/>
      <c r="P474" s="4">
        <f t="shared" si="55"/>
        <v>4043.175</v>
      </c>
      <c r="Q474" s="4">
        <f t="shared" si="56"/>
        <v>21527.175</v>
      </c>
      <c r="R474" s="4"/>
      <c r="S474" s="4">
        <f t="shared" si="57"/>
        <v>258326.09999999998</v>
      </c>
      <c r="T474" s="12"/>
    </row>
    <row r="475" spans="1:20" ht="12.75" customHeight="1">
      <c r="A475" s="7">
        <f t="shared" si="58"/>
        <v>4</v>
      </c>
      <c r="B475" s="31" t="s">
        <v>218</v>
      </c>
      <c r="C475" s="47">
        <v>36.75</v>
      </c>
      <c r="D475" s="7">
        <v>16</v>
      </c>
      <c r="E475" s="7">
        <v>2377</v>
      </c>
      <c r="F475" s="7">
        <f t="shared" si="54"/>
        <v>87354.75</v>
      </c>
      <c r="G475" s="47"/>
      <c r="H475" s="7"/>
      <c r="I475" s="4">
        <f>E475*C475*0.25+75.37</f>
        <v>21914.0575</v>
      </c>
      <c r="J475" s="4">
        <f>E475*26.25*0.15</f>
        <v>9359.4375</v>
      </c>
      <c r="K475" s="4"/>
      <c r="L475" s="7"/>
      <c r="M475" s="7"/>
      <c r="N475" s="7"/>
      <c r="O475" s="7"/>
      <c r="P475" s="4">
        <f t="shared" si="55"/>
        <v>31273.495</v>
      </c>
      <c r="Q475" s="4">
        <f t="shared" si="56"/>
        <v>118628.245</v>
      </c>
      <c r="R475" s="4"/>
      <c r="S475" s="4">
        <f t="shared" si="57"/>
        <v>1423538.94</v>
      </c>
      <c r="T475" s="12"/>
    </row>
    <row r="476" spans="1:20" ht="12.75" customHeight="1">
      <c r="A476" s="7">
        <f t="shared" si="58"/>
        <v>5</v>
      </c>
      <c r="B476" s="31" t="s">
        <v>432</v>
      </c>
      <c r="C476" s="47">
        <v>4</v>
      </c>
      <c r="D476" s="7">
        <v>17</v>
      </c>
      <c r="E476" s="7">
        <v>2556</v>
      </c>
      <c r="F476" s="7">
        <f t="shared" si="54"/>
        <v>10224</v>
      </c>
      <c r="G476" s="47"/>
      <c r="H476" s="7"/>
      <c r="I476" s="4">
        <f>E476*C476*0.1</f>
        <v>1022.4000000000001</v>
      </c>
      <c r="J476" s="4">
        <f>E476*2*0.15</f>
        <v>766.8</v>
      </c>
      <c r="K476" s="4"/>
      <c r="L476" s="7"/>
      <c r="M476" s="7"/>
      <c r="N476" s="7"/>
      <c r="O476" s="7"/>
      <c r="P476" s="4">
        <f t="shared" si="55"/>
        <v>1789.2</v>
      </c>
      <c r="Q476" s="4">
        <f t="shared" si="56"/>
        <v>12013.2</v>
      </c>
      <c r="R476" s="4"/>
      <c r="S476" s="4">
        <f t="shared" si="57"/>
        <v>144158.40000000002</v>
      </c>
      <c r="T476" s="12"/>
    </row>
    <row r="477" spans="1:20" ht="12.75" customHeight="1">
      <c r="A477" s="7">
        <f t="shared" si="58"/>
        <v>6</v>
      </c>
      <c r="B477" s="31" t="s">
        <v>537</v>
      </c>
      <c r="C477" s="47">
        <v>1</v>
      </c>
      <c r="D477" s="7">
        <v>17</v>
      </c>
      <c r="E477" s="7">
        <v>2556</v>
      </c>
      <c r="F477" s="7">
        <f t="shared" si="54"/>
        <v>2556</v>
      </c>
      <c r="G477" s="47"/>
      <c r="H477" s="4"/>
      <c r="I477" s="4">
        <f>E477*C477*0.3</f>
        <v>766.8</v>
      </c>
      <c r="J477" s="4">
        <f>E477*C477*0.15</f>
        <v>383.4</v>
      </c>
      <c r="K477" s="4"/>
      <c r="L477" s="7"/>
      <c r="M477" s="7"/>
      <c r="N477" s="7"/>
      <c r="O477" s="7"/>
      <c r="P477" s="4">
        <f t="shared" si="55"/>
        <v>1150.1999999999998</v>
      </c>
      <c r="Q477" s="4">
        <f t="shared" si="56"/>
        <v>3706.2</v>
      </c>
      <c r="R477" s="4"/>
      <c r="S477" s="4">
        <f t="shared" si="57"/>
        <v>44474.399999999994</v>
      </c>
      <c r="T477" s="12"/>
    </row>
    <row r="478" spans="1:20" ht="12.75" customHeight="1">
      <c r="A478" s="7">
        <f t="shared" si="58"/>
        <v>7</v>
      </c>
      <c r="B478" s="31" t="s">
        <v>538</v>
      </c>
      <c r="C478" s="47">
        <v>3.75</v>
      </c>
      <c r="D478" s="7">
        <v>17</v>
      </c>
      <c r="E478" s="7">
        <v>2556</v>
      </c>
      <c r="F478" s="7">
        <f t="shared" si="54"/>
        <v>9585</v>
      </c>
      <c r="G478" s="47"/>
      <c r="H478" s="4">
        <f>E478*C478*0.1</f>
        <v>958.5</v>
      </c>
      <c r="I478" s="4">
        <f>E478*C478*0.3</f>
        <v>2875.5</v>
      </c>
      <c r="J478" s="4"/>
      <c r="K478" s="4"/>
      <c r="L478" s="7"/>
      <c r="M478" s="7"/>
      <c r="N478" s="7"/>
      <c r="O478" s="7"/>
      <c r="P478" s="4">
        <f t="shared" si="55"/>
        <v>3834</v>
      </c>
      <c r="Q478" s="4">
        <f t="shared" si="56"/>
        <v>13419</v>
      </c>
      <c r="R478" s="4"/>
      <c r="S478" s="4">
        <f t="shared" si="57"/>
        <v>161028</v>
      </c>
      <c r="T478" s="12"/>
    </row>
    <row r="479" spans="1:20" ht="12.75" customHeight="1">
      <c r="A479" s="7">
        <f t="shared" si="58"/>
        <v>8</v>
      </c>
      <c r="B479" s="31" t="s">
        <v>27</v>
      </c>
      <c r="C479" s="47">
        <v>41.5</v>
      </c>
      <c r="D479" s="7">
        <v>17</v>
      </c>
      <c r="E479" s="7">
        <v>2556</v>
      </c>
      <c r="F479" s="7">
        <f t="shared" si="54"/>
        <v>106074</v>
      </c>
      <c r="G479" s="7"/>
      <c r="H479" s="4"/>
      <c r="I479" s="4">
        <f>F479*0.11-2000</f>
        <v>9668.14</v>
      </c>
      <c r="J479" s="4"/>
      <c r="K479" s="4"/>
      <c r="L479" s="7"/>
      <c r="M479" s="4">
        <f>E479*2*0.3</f>
        <v>1533.6</v>
      </c>
      <c r="N479" s="7"/>
      <c r="O479" s="7"/>
      <c r="P479" s="4">
        <f t="shared" si="55"/>
        <v>11201.74</v>
      </c>
      <c r="Q479" s="4">
        <f t="shared" si="56"/>
        <v>117275.74</v>
      </c>
      <c r="R479" s="4"/>
      <c r="S479" s="4">
        <f t="shared" si="57"/>
        <v>1407308.8800000001</v>
      </c>
      <c r="T479" s="12"/>
    </row>
    <row r="480" spans="1:20" ht="12.75" customHeight="1">
      <c r="A480" s="7">
        <f t="shared" si="58"/>
        <v>9</v>
      </c>
      <c r="B480" s="31" t="s">
        <v>225</v>
      </c>
      <c r="C480" s="47">
        <v>3.5</v>
      </c>
      <c r="D480" s="7">
        <v>16</v>
      </c>
      <c r="E480" s="7">
        <v>2377</v>
      </c>
      <c r="F480" s="7">
        <f t="shared" si="54"/>
        <v>8319.5</v>
      </c>
      <c r="G480" s="7"/>
      <c r="H480" s="4"/>
      <c r="I480" s="4"/>
      <c r="J480" s="4">
        <f>E480*C480*0.15</f>
        <v>1247.925</v>
      </c>
      <c r="K480" s="4"/>
      <c r="L480" s="7"/>
      <c r="M480" s="7"/>
      <c r="N480" s="7"/>
      <c r="O480" s="7"/>
      <c r="P480" s="4">
        <f t="shared" si="55"/>
        <v>1247.925</v>
      </c>
      <c r="Q480" s="4">
        <f t="shared" si="56"/>
        <v>9567.425</v>
      </c>
      <c r="R480" s="4"/>
      <c r="S480" s="4">
        <f t="shared" si="57"/>
        <v>114809.09999999999</v>
      </c>
      <c r="T480" s="12"/>
    </row>
    <row r="481" spans="1:20" ht="12.75" customHeight="1">
      <c r="A481" s="7">
        <f t="shared" si="58"/>
        <v>10</v>
      </c>
      <c r="B481" s="31" t="s">
        <v>219</v>
      </c>
      <c r="C481" s="47">
        <v>63</v>
      </c>
      <c r="D481" s="7">
        <v>16</v>
      </c>
      <c r="E481" s="7">
        <v>2377</v>
      </c>
      <c r="F481" s="7">
        <f t="shared" si="54"/>
        <v>149751</v>
      </c>
      <c r="G481" s="47"/>
      <c r="H481" s="4"/>
      <c r="I481" s="4">
        <f>F481*0.14</f>
        <v>20965.140000000003</v>
      </c>
      <c r="J481" s="4"/>
      <c r="K481" s="4"/>
      <c r="L481" s="7"/>
      <c r="M481" s="7"/>
      <c r="N481" s="7"/>
      <c r="O481" s="7"/>
      <c r="P481" s="4">
        <f t="shared" si="55"/>
        <v>20965.140000000003</v>
      </c>
      <c r="Q481" s="4">
        <f t="shared" si="56"/>
        <v>170716.14</v>
      </c>
      <c r="R481" s="4"/>
      <c r="S481" s="4">
        <f t="shared" si="57"/>
        <v>2048593.6800000002</v>
      </c>
      <c r="T481" s="12"/>
    </row>
    <row r="482" spans="1:20" ht="24.75" customHeight="1">
      <c r="A482" s="7">
        <f t="shared" si="58"/>
        <v>11</v>
      </c>
      <c r="B482" s="31" t="s">
        <v>519</v>
      </c>
      <c r="C482" s="47">
        <v>0.25</v>
      </c>
      <c r="D482" s="7">
        <v>16</v>
      </c>
      <c r="E482" s="7">
        <v>2377</v>
      </c>
      <c r="F482" s="7">
        <f t="shared" si="54"/>
        <v>594.25</v>
      </c>
      <c r="G482" s="7"/>
      <c r="H482" s="4">
        <f>E482*C482*0.15</f>
        <v>89.1375</v>
      </c>
      <c r="I482" s="4"/>
      <c r="J482" s="4"/>
      <c r="K482" s="4"/>
      <c r="L482" s="7"/>
      <c r="M482" s="7"/>
      <c r="N482" s="7"/>
      <c r="O482" s="7"/>
      <c r="P482" s="4">
        <f t="shared" si="55"/>
        <v>89.1375</v>
      </c>
      <c r="Q482" s="4">
        <f t="shared" si="56"/>
        <v>683.3875</v>
      </c>
      <c r="R482" s="44"/>
      <c r="S482" s="4">
        <f t="shared" si="57"/>
        <v>8200.650000000001</v>
      </c>
      <c r="T482" s="12"/>
    </row>
    <row r="483" spans="1:20" ht="13.5" customHeight="1">
      <c r="A483" s="7">
        <f t="shared" si="58"/>
        <v>12</v>
      </c>
      <c r="B483" s="31" t="s">
        <v>186</v>
      </c>
      <c r="C483" s="47">
        <v>2.25</v>
      </c>
      <c r="D483" s="7">
        <v>16</v>
      </c>
      <c r="E483" s="7">
        <v>2377</v>
      </c>
      <c r="F483" s="7">
        <f t="shared" si="54"/>
        <v>5348.25</v>
      </c>
      <c r="G483" s="7"/>
      <c r="H483" s="7"/>
      <c r="I483" s="4">
        <f>F483*1*0.1+F483*1*0.2</f>
        <v>1604.4750000000001</v>
      </c>
      <c r="J483" s="4"/>
      <c r="K483" s="4"/>
      <c r="L483" s="7"/>
      <c r="M483" s="7"/>
      <c r="N483" s="7"/>
      <c r="O483" s="7"/>
      <c r="P483" s="4">
        <f t="shared" si="55"/>
        <v>1604.4750000000001</v>
      </c>
      <c r="Q483" s="9">
        <f t="shared" si="56"/>
        <v>6952.725</v>
      </c>
      <c r="R483" s="15"/>
      <c r="S483" s="9">
        <f t="shared" si="57"/>
        <v>83432.70000000001</v>
      </c>
      <c r="T483" s="12"/>
    </row>
    <row r="484" spans="1:20" ht="13.5" customHeight="1">
      <c r="A484" s="10"/>
      <c r="B484" s="26" t="s">
        <v>40</v>
      </c>
      <c r="C484" s="48">
        <f>SUM(C472:C483)</f>
        <v>216</v>
      </c>
      <c r="D484" s="11"/>
      <c r="E484" s="11"/>
      <c r="F484" s="11">
        <f>SUM(F472:F483)</f>
        <v>555535</v>
      </c>
      <c r="G484" s="11">
        <v>38000</v>
      </c>
      <c r="H484" s="11">
        <f>SUM(H472:H483)</f>
        <v>3134.1875</v>
      </c>
      <c r="I484" s="11">
        <f>SUM(I472:I483)</f>
        <v>86511.01250000001</v>
      </c>
      <c r="J484" s="11">
        <f>SUM(J472:J483)</f>
        <v>39261.950000000004</v>
      </c>
      <c r="K484" s="11">
        <f>SUM(K472:K483)</f>
        <v>40739.4425</v>
      </c>
      <c r="L484" s="11"/>
      <c r="M484" s="11">
        <f>SUM(M472:M483)</f>
        <v>2407.7999999999997</v>
      </c>
      <c r="N484" s="11"/>
      <c r="O484" s="11"/>
      <c r="P484" s="11">
        <f>SUM(P472:P483)+G484</f>
        <v>210054.39250000002</v>
      </c>
      <c r="Q484" s="11">
        <f>SUM(Q472:Q483)+G484</f>
        <v>765589.3925</v>
      </c>
      <c r="R484" s="11">
        <f>SUM(R472:R483)</f>
        <v>0</v>
      </c>
      <c r="S484" s="11">
        <f>SUM(S472:S483)+G484*$R$17</f>
        <v>9187072.71</v>
      </c>
      <c r="T484" s="12"/>
    </row>
    <row r="485" spans="1:20" ht="13.5" customHeight="1">
      <c r="A485" s="10"/>
      <c r="B485" s="26" t="s">
        <v>32</v>
      </c>
      <c r="C485" s="11"/>
      <c r="D485" s="4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>
        <v>60000</v>
      </c>
      <c r="R485" s="11"/>
      <c r="S485" s="11">
        <f>Q485*$R$17</f>
        <v>720000</v>
      </c>
      <c r="T485" s="12"/>
    </row>
    <row r="486" spans="1:20" ht="13.5" customHeight="1">
      <c r="A486" s="179" t="s">
        <v>35</v>
      </c>
      <c r="B486" s="179"/>
      <c r="C486" s="11">
        <f>C470+C484+C485</f>
        <v>218</v>
      </c>
      <c r="D486" s="11"/>
      <c r="E486" s="11"/>
      <c r="F486" s="11">
        <f aca="true" t="shared" si="59" ref="F486:K486">F470+F484+F485</f>
        <v>562223</v>
      </c>
      <c r="G486" s="11">
        <f t="shared" si="59"/>
        <v>48121.5</v>
      </c>
      <c r="H486" s="11">
        <f t="shared" si="59"/>
        <v>3802.9875</v>
      </c>
      <c r="I486" s="11">
        <f t="shared" si="59"/>
        <v>87848.61250000002</v>
      </c>
      <c r="J486" s="11">
        <f t="shared" si="59"/>
        <v>40933.950000000004</v>
      </c>
      <c r="K486" s="11">
        <f t="shared" si="59"/>
        <v>42678.962499999994</v>
      </c>
      <c r="L486" s="11"/>
      <c r="M486" s="11">
        <f>M470+M484+M485</f>
        <v>2407.7999999999997</v>
      </c>
      <c r="N486" s="11"/>
      <c r="O486" s="11"/>
      <c r="P486" s="11">
        <f>P470+P484+P485</f>
        <v>225793.81250000003</v>
      </c>
      <c r="Q486" s="11">
        <f>Q470+Q484+Q485</f>
        <v>848016.8125</v>
      </c>
      <c r="R486" s="11">
        <f>R470+R484+R485</f>
        <v>0</v>
      </c>
      <c r="S486" s="11">
        <f>S470+S484+S485</f>
        <v>10176201.75</v>
      </c>
      <c r="T486" s="12"/>
    </row>
    <row r="487" spans="1:20" ht="15.75" customHeight="1">
      <c r="A487" s="157" t="s">
        <v>153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9"/>
      <c r="T487" s="12"/>
    </row>
    <row r="488" spans="1:20" ht="25.5">
      <c r="A488" s="3" t="s">
        <v>9</v>
      </c>
      <c r="B488" s="2" t="s">
        <v>304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12"/>
    </row>
    <row r="489" spans="1:20" ht="12.75">
      <c r="A489" s="8"/>
      <c r="B489" s="31" t="s">
        <v>502</v>
      </c>
      <c r="C489" s="8">
        <v>1</v>
      </c>
      <c r="D489" s="8">
        <v>11</v>
      </c>
      <c r="E489" s="8">
        <v>1678</v>
      </c>
      <c r="F489" s="7">
        <f>E489*C489</f>
        <v>1678</v>
      </c>
      <c r="G489" s="8"/>
      <c r="H489" s="8"/>
      <c r="I489" s="9"/>
      <c r="J489" s="9"/>
      <c r="K489" s="9"/>
      <c r="L489" s="9"/>
      <c r="M489" s="9"/>
      <c r="N489" s="9"/>
      <c r="O489" s="9"/>
      <c r="P489" s="4"/>
      <c r="Q489" s="4">
        <f>E489*C489+SUM(G489:O489)</f>
        <v>1678</v>
      </c>
      <c r="R489" s="8"/>
      <c r="S489" s="9">
        <f>Q489*$R$17</f>
        <v>20136</v>
      </c>
      <c r="T489" s="12"/>
    </row>
    <row r="490" spans="1:20" ht="12.75">
      <c r="A490" s="10"/>
      <c r="B490" s="26" t="s">
        <v>40</v>
      </c>
      <c r="C490" s="10">
        <f>SUM(C489)</f>
        <v>1</v>
      </c>
      <c r="D490" s="10"/>
      <c r="E490" s="10"/>
      <c r="F490" s="10">
        <f>SUM(F489)</f>
        <v>1678</v>
      </c>
      <c r="G490" s="10"/>
      <c r="H490" s="10"/>
      <c r="I490" s="11"/>
      <c r="J490" s="11"/>
      <c r="K490" s="11"/>
      <c r="L490" s="11"/>
      <c r="M490" s="11"/>
      <c r="N490" s="11"/>
      <c r="O490" s="11"/>
      <c r="P490" s="11"/>
      <c r="Q490" s="10">
        <f>SUM(Q489)</f>
        <v>1678</v>
      </c>
      <c r="R490" s="10">
        <f>SUM(R489)</f>
        <v>0</v>
      </c>
      <c r="S490" s="10">
        <f>SUM(S489)</f>
        <v>20136</v>
      </c>
      <c r="T490" s="12"/>
    </row>
    <row r="491" spans="1:20" ht="12.75">
      <c r="A491" s="3" t="s">
        <v>11</v>
      </c>
      <c r="B491" s="2" t="s">
        <v>179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12"/>
    </row>
    <row r="492" spans="1:20" ht="12.75">
      <c r="A492" s="8"/>
      <c r="B492" s="27" t="s">
        <v>162</v>
      </c>
      <c r="C492" s="8">
        <v>1</v>
      </c>
      <c r="D492" s="8">
        <v>6</v>
      </c>
      <c r="E492" s="8">
        <v>1263</v>
      </c>
      <c r="F492" s="7">
        <f>E492*C492</f>
        <v>1263</v>
      </c>
      <c r="G492" s="8"/>
      <c r="H492" s="8"/>
      <c r="I492" s="8"/>
      <c r="J492" s="8"/>
      <c r="K492" s="8"/>
      <c r="L492" s="8"/>
      <c r="M492" s="8"/>
      <c r="N492" s="8"/>
      <c r="O492" s="8"/>
      <c r="P492" s="7"/>
      <c r="Q492" s="4">
        <f>E492*C492+SUM(G492:O492)</f>
        <v>1263</v>
      </c>
      <c r="R492" s="8"/>
      <c r="S492" s="9">
        <f>Q492*$R$17</f>
        <v>15156</v>
      </c>
      <c r="T492" s="12"/>
    </row>
    <row r="493" spans="1:20" ht="12.75">
      <c r="A493" s="10"/>
      <c r="B493" s="26" t="s">
        <v>40</v>
      </c>
      <c r="C493" s="10">
        <f>SUM(C492:C492)</f>
        <v>1</v>
      </c>
      <c r="D493" s="10"/>
      <c r="E493" s="10"/>
      <c r="F493" s="10">
        <f>SUM(F492:F492)</f>
        <v>1263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>
        <f>SUM(Q492)</f>
        <v>1263</v>
      </c>
      <c r="R493" s="10"/>
      <c r="S493" s="10">
        <f>SUM(S492:S492)</f>
        <v>15156</v>
      </c>
      <c r="T493" s="12"/>
    </row>
    <row r="494" spans="1:20" ht="12.75">
      <c r="A494" s="3" t="s">
        <v>10</v>
      </c>
      <c r="B494" s="2" t="s">
        <v>63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12"/>
    </row>
    <row r="495" spans="1:20" ht="12.75">
      <c r="A495" s="8"/>
      <c r="B495" s="27" t="s">
        <v>154</v>
      </c>
      <c r="C495" s="8">
        <v>0.5</v>
      </c>
      <c r="D495" s="8">
        <v>4</v>
      </c>
      <c r="E495" s="8">
        <v>1243</v>
      </c>
      <c r="F495" s="7">
        <f>E495*C495</f>
        <v>621.5</v>
      </c>
      <c r="G495" s="8"/>
      <c r="H495" s="8"/>
      <c r="I495" s="8"/>
      <c r="J495" s="8"/>
      <c r="K495" s="8"/>
      <c r="L495" s="8"/>
      <c r="M495" s="8"/>
      <c r="N495" s="8"/>
      <c r="O495" s="8"/>
      <c r="P495" s="7"/>
      <c r="Q495" s="4">
        <f>E495*C495+SUM(G495:O495)</f>
        <v>621.5</v>
      </c>
      <c r="R495" s="8"/>
      <c r="S495" s="9">
        <f>Q495*$R$17</f>
        <v>7458</v>
      </c>
      <c r="T495" s="12"/>
    </row>
    <row r="496" spans="1:20" ht="12.75">
      <c r="A496" s="10"/>
      <c r="B496" s="26" t="s">
        <v>40</v>
      </c>
      <c r="C496" s="10">
        <f>SUM(C495:C495)</f>
        <v>0.5</v>
      </c>
      <c r="D496" s="10"/>
      <c r="E496" s="10"/>
      <c r="F496" s="10">
        <f>SUM(F495:F495)</f>
        <v>621.5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>
        <f>SUM(Q495)</f>
        <v>621.5</v>
      </c>
      <c r="R496" s="10"/>
      <c r="S496" s="10">
        <f>SUM(S495:S495)</f>
        <v>7458</v>
      </c>
      <c r="T496" s="12"/>
    </row>
    <row r="497" spans="1:20" ht="25.5">
      <c r="A497" s="3" t="s">
        <v>13</v>
      </c>
      <c r="B497" s="2" t="s">
        <v>342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12"/>
    </row>
    <row r="498" spans="1:20" ht="12.75">
      <c r="A498" s="7"/>
      <c r="B498" s="31" t="s">
        <v>222</v>
      </c>
      <c r="C498" s="7">
        <v>1</v>
      </c>
      <c r="D498" s="7">
        <v>9</v>
      </c>
      <c r="E498" s="7">
        <v>1474</v>
      </c>
      <c r="F498" s="7">
        <f>E498*C498</f>
        <v>1474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4">
        <f>E498*C498+SUM(G498:O498)</f>
        <v>1474</v>
      </c>
      <c r="R498" s="7"/>
      <c r="S498" s="4">
        <f>Q498*$R$17</f>
        <v>17688</v>
      </c>
      <c r="T498" s="12"/>
    </row>
    <row r="499" spans="1:20" ht="12.75">
      <c r="A499" s="10"/>
      <c r="B499" s="26" t="s">
        <v>40</v>
      </c>
      <c r="C499" s="10">
        <f>SUM(C498:C498)</f>
        <v>1</v>
      </c>
      <c r="D499" s="10"/>
      <c r="E499" s="10"/>
      <c r="F499" s="10">
        <f>SUM(F498:F498)</f>
        <v>1474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>
        <f>SUM(Q497:Q498)</f>
        <v>1474</v>
      </c>
      <c r="R499" s="10"/>
      <c r="S499" s="10">
        <f>SUM(S498:S498)</f>
        <v>17688</v>
      </c>
      <c r="T499" s="12"/>
    </row>
    <row r="500" spans="1:20" ht="12.75">
      <c r="A500" s="3" t="s">
        <v>19</v>
      </c>
      <c r="B500" s="2" t="s">
        <v>54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12"/>
    </row>
    <row r="501" spans="1:20" ht="12.75">
      <c r="A501" s="8"/>
      <c r="B501" s="31" t="s">
        <v>223</v>
      </c>
      <c r="C501" s="7">
        <v>1</v>
      </c>
      <c r="D501" s="7">
        <v>7</v>
      </c>
      <c r="E501" s="7">
        <v>1312</v>
      </c>
      <c r="F501" s="7">
        <f>E501*C501</f>
        <v>1312</v>
      </c>
      <c r="G501" s="8"/>
      <c r="H501" s="8"/>
      <c r="I501" s="8"/>
      <c r="J501" s="8"/>
      <c r="K501" s="8"/>
      <c r="L501" s="8"/>
      <c r="M501" s="8"/>
      <c r="N501" s="8"/>
      <c r="O501" s="8"/>
      <c r="P501" s="7"/>
      <c r="Q501" s="4">
        <f>E501*C501+SUM(G501:O501)</f>
        <v>1312</v>
      </c>
      <c r="R501" s="7"/>
      <c r="S501" s="4">
        <f>Q501*$R$17</f>
        <v>15744</v>
      </c>
      <c r="T501" s="12"/>
    </row>
    <row r="502" spans="1:20" ht="12.75">
      <c r="A502" s="10"/>
      <c r="B502" s="26" t="s">
        <v>40</v>
      </c>
      <c r="C502" s="10">
        <f>SUM(C500:C501)</f>
        <v>1</v>
      </c>
      <c r="D502" s="10"/>
      <c r="E502" s="10"/>
      <c r="F502" s="10">
        <f>SUM(F500:F501)</f>
        <v>1312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>
        <f>SUM(Q501)</f>
        <v>1312</v>
      </c>
      <c r="R502" s="10">
        <f>SUM(R500:R501)</f>
        <v>0</v>
      </c>
      <c r="S502" s="10">
        <f>SUM(S500:S501)</f>
        <v>15744</v>
      </c>
      <c r="T502" s="12"/>
    </row>
    <row r="503" spans="1:20" ht="12.75" customHeight="1">
      <c r="A503" s="3" t="s">
        <v>20</v>
      </c>
      <c r="B503" s="2" t="s">
        <v>203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12"/>
    </row>
    <row r="504" spans="1:20" ht="12.75">
      <c r="A504" s="8"/>
      <c r="B504" s="31" t="s">
        <v>223</v>
      </c>
      <c r="C504" s="7">
        <v>1</v>
      </c>
      <c r="D504" s="7">
        <v>7</v>
      </c>
      <c r="E504" s="7">
        <v>1312</v>
      </c>
      <c r="F504" s="7">
        <f>E504*C504</f>
        <v>1312</v>
      </c>
      <c r="G504" s="8"/>
      <c r="H504" s="8"/>
      <c r="I504" s="8"/>
      <c r="J504" s="8"/>
      <c r="K504" s="8"/>
      <c r="L504" s="8"/>
      <c r="M504" s="8"/>
      <c r="N504" s="8"/>
      <c r="O504" s="8"/>
      <c r="P504" s="7"/>
      <c r="Q504" s="4">
        <f>E504*C504+SUM(G504:O504)</f>
        <v>1312</v>
      </c>
      <c r="R504" s="7"/>
      <c r="S504" s="4">
        <f>Q504*$R$17</f>
        <v>15744</v>
      </c>
      <c r="T504" s="12"/>
    </row>
    <row r="505" spans="1:20" ht="12.75">
      <c r="A505" s="10"/>
      <c r="B505" s="26" t="s">
        <v>40</v>
      </c>
      <c r="C505" s="10">
        <f>SUM(C503:C504)</f>
        <v>1</v>
      </c>
      <c r="D505" s="10"/>
      <c r="E505" s="10"/>
      <c r="F505" s="10">
        <f>SUM(F503:F504)</f>
        <v>1312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>
        <f>SUM(Q504)</f>
        <v>1312</v>
      </c>
      <c r="R505" s="10">
        <f>SUM(R503:R504)</f>
        <v>0</v>
      </c>
      <c r="S505" s="10">
        <f>SUM(S503:S504)</f>
        <v>15744</v>
      </c>
      <c r="T505" s="12"/>
    </row>
    <row r="506" spans="1:20" ht="12" customHeight="1">
      <c r="A506" s="3" t="s">
        <v>21</v>
      </c>
      <c r="B506" s="58" t="s">
        <v>237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12"/>
    </row>
    <row r="507" spans="1:20" ht="12" customHeight="1">
      <c r="A507" s="7"/>
      <c r="B507" s="31" t="s">
        <v>502</v>
      </c>
      <c r="C507" s="7">
        <v>1</v>
      </c>
      <c r="D507" s="7">
        <v>11</v>
      </c>
      <c r="E507" s="7">
        <v>1678</v>
      </c>
      <c r="F507" s="7">
        <f>E507*C507</f>
        <v>1678</v>
      </c>
      <c r="G507" s="7"/>
      <c r="H507" s="7"/>
      <c r="I507" s="4"/>
      <c r="J507" s="7"/>
      <c r="K507" s="7"/>
      <c r="L507" s="7"/>
      <c r="M507" s="7"/>
      <c r="N507" s="7"/>
      <c r="O507" s="7"/>
      <c r="P507" s="4"/>
      <c r="Q507" s="4">
        <f>E507*C507+SUM(G507:O507)</f>
        <v>1678</v>
      </c>
      <c r="R507" s="7"/>
      <c r="S507" s="4">
        <f>Q507*$R$17</f>
        <v>20136</v>
      </c>
      <c r="T507" s="12"/>
    </row>
    <row r="508" spans="1:20" ht="12" customHeight="1">
      <c r="A508" s="10"/>
      <c r="B508" s="26" t="s">
        <v>40</v>
      </c>
      <c r="C508" s="10">
        <f>SUM(C507:C507)</f>
        <v>1</v>
      </c>
      <c r="D508" s="10"/>
      <c r="E508" s="10"/>
      <c r="F508" s="10">
        <f>SUM(F507:F507)</f>
        <v>1678</v>
      </c>
      <c r="G508" s="10"/>
      <c r="H508" s="10"/>
      <c r="I508" s="11"/>
      <c r="J508" s="10"/>
      <c r="K508" s="10"/>
      <c r="L508" s="10"/>
      <c r="M508" s="10"/>
      <c r="N508" s="10"/>
      <c r="O508" s="10"/>
      <c r="P508" s="11"/>
      <c r="Q508" s="11">
        <f>SUM(Q507:Q507)</f>
        <v>1678</v>
      </c>
      <c r="R508" s="11">
        <f>SUM(R507:R507)</f>
        <v>0</v>
      </c>
      <c r="S508" s="11">
        <f>SUM(S507:S507)</f>
        <v>20136</v>
      </c>
      <c r="T508" s="12"/>
    </row>
    <row r="509" spans="1:20" ht="12" customHeight="1">
      <c r="A509" s="3" t="s">
        <v>22</v>
      </c>
      <c r="B509" s="2" t="s">
        <v>232</v>
      </c>
      <c r="C509" s="3"/>
      <c r="D509" s="3"/>
      <c r="E509" s="122"/>
      <c r="F509" s="12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12"/>
    </row>
    <row r="510" spans="1:20" ht="12" customHeight="1">
      <c r="A510" s="7"/>
      <c r="B510" s="31" t="s">
        <v>502</v>
      </c>
      <c r="C510" s="7">
        <v>1</v>
      </c>
      <c r="D510" s="7">
        <v>11</v>
      </c>
      <c r="E510" s="7">
        <v>1678</v>
      </c>
      <c r="F510" s="7">
        <f>E510*C510</f>
        <v>1678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4">
        <f>E510*C510+SUM(G510:O510)</f>
        <v>1678</v>
      </c>
      <c r="R510" s="7"/>
      <c r="S510" s="4">
        <f>Q510*$R$17</f>
        <v>20136</v>
      </c>
      <c r="T510" s="12"/>
    </row>
    <row r="511" spans="1:20" ht="12" customHeight="1">
      <c r="A511" s="10"/>
      <c r="B511" s="26" t="s">
        <v>40</v>
      </c>
      <c r="C511" s="10">
        <f>SUM(C510:C510)</f>
        <v>1</v>
      </c>
      <c r="D511" s="10"/>
      <c r="E511" s="68"/>
      <c r="F511" s="10">
        <f>SUM(F510:F510)</f>
        <v>1678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1">
        <f>SUM(Q510:Q510)</f>
        <v>1678</v>
      </c>
      <c r="R511" s="11">
        <f>SUM(R510:R510)</f>
        <v>0</v>
      </c>
      <c r="S511" s="11">
        <f>SUM(S510:S510)</f>
        <v>20136</v>
      </c>
      <c r="T511" s="12"/>
    </row>
    <row r="512" spans="1:20" ht="12" customHeight="1">
      <c r="A512" s="3" t="s">
        <v>23</v>
      </c>
      <c r="B512" s="2" t="s">
        <v>233</v>
      </c>
      <c r="C512" s="3"/>
      <c r="D512" s="3"/>
      <c r="E512" s="122"/>
      <c r="F512" s="12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12"/>
    </row>
    <row r="513" spans="1:20" ht="12" customHeight="1">
      <c r="A513" s="7"/>
      <c r="B513" s="31" t="s">
        <v>162</v>
      </c>
      <c r="C513" s="7">
        <v>1</v>
      </c>
      <c r="D513" s="7">
        <v>6</v>
      </c>
      <c r="E513" s="7">
        <v>1263</v>
      </c>
      <c r="F513" s="7">
        <f>E513*C513</f>
        <v>1263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4">
        <f>E513*C513+SUM(G513:O513)</f>
        <v>1263</v>
      </c>
      <c r="R513" s="7"/>
      <c r="S513" s="4">
        <f>Q513*$R$17</f>
        <v>15156</v>
      </c>
      <c r="T513" s="12"/>
    </row>
    <row r="514" spans="1:20" ht="12" customHeight="1">
      <c r="A514" s="10"/>
      <c r="B514" s="26" t="s">
        <v>40</v>
      </c>
      <c r="C514" s="10">
        <f>SUM(C513:C513)</f>
        <v>1</v>
      </c>
      <c r="D514" s="10"/>
      <c r="E514" s="10"/>
      <c r="F514" s="10">
        <f>SUM(F513:F513)</f>
        <v>1263</v>
      </c>
      <c r="G514" s="10"/>
      <c r="H514" s="10"/>
      <c r="I514" s="11"/>
      <c r="J514" s="11"/>
      <c r="K514" s="11"/>
      <c r="L514" s="11"/>
      <c r="M514" s="11"/>
      <c r="N514" s="11"/>
      <c r="O514" s="11"/>
      <c r="P514" s="11"/>
      <c r="Q514" s="11">
        <f>SUM(Q513:Q513)</f>
        <v>1263</v>
      </c>
      <c r="R514" s="11">
        <f>SUM(R513:R513)</f>
        <v>0</v>
      </c>
      <c r="S514" s="11">
        <f>SUM(S513:S513)</f>
        <v>15156</v>
      </c>
      <c r="T514" s="12"/>
    </row>
    <row r="515" spans="1:20" ht="24" customHeight="1">
      <c r="A515" s="3" t="s">
        <v>25</v>
      </c>
      <c r="B515" s="37" t="s">
        <v>536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12"/>
    </row>
    <row r="516" spans="1:20" ht="12" customHeight="1">
      <c r="A516" s="8"/>
      <c r="B516" s="38" t="s">
        <v>223</v>
      </c>
      <c r="C516" s="7">
        <v>1</v>
      </c>
      <c r="D516" s="7">
        <v>7</v>
      </c>
      <c r="E516" s="7">
        <v>1312</v>
      </c>
      <c r="F516" s="7">
        <f>E516*C516</f>
        <v>1312</v>
      </c>
      <c r="G516" s="8"/>
      <c r="H516" s="8"/>
      <c r="I516" s="8"/>
      <c r="J516" s="8"/>
      <c r="K516" s="8"/>
      <c r="L516" s="8"/>
      <c r="M516" s="8"/>
      <c r="N516" s="8"/>
      <c r="O516" s="8"/>
      <c r="P516" s="7"/>
      <c r="Q516" s="4">
        <f>E516*C516+SUM(G516:O516)</f>
        <v>1312</v>
      </c>
      <c r="R516" s="8"/>
      <c r="S516" s="9">
        <f>Q516*$R$17</f>
        <v>15744</v>
      </c>
      <c r="T516" s="12"/>
    </row>
    <row r="517" spans="1:20" ht="12" customHeight="1">
      <c r="A517" s="10"/>
      <c r="B517" s="26" t="s">
        <v>40</v>
      </c>
      <c r="C517" s="10">
        <f>SUM(C515:C516)</f>
        <v>1</v>
      </c>
      <c r="D517" s="10"/>
      <c r="E517" s="10"/>
      <c r="F517" s="10">
        <f>SUM(F515:F516)</f>
        <v>1312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>
        <f>SUM(Q516)</f>
        <v>1312</v>
      </c>
      <c r="R517" s="10">
        <f>SUM(R515:R516)</f>
        <v>0</v>
      </c>
      <c r="S517" s="10">
        <f>SUM(S515:S516)</f>
        <v>15744</v>
      </c>
      <c r="T517" s="12"/>
    </row>
    <row r="518" spans="1:20" ht="22.5" customHeight="1">
      <c r="A518" s="3" t="s">
        <v>26</v>
      </c>
      <c r="B518" s="2" t="s">
        <v>496</v>
      </c>
      <c r="C518" s="3"/>
      <c r="D518" s="3"/>
      <c r="E518" s="3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12"/>
    </row>
    <row r="519" spans="1:20" ht="12.75">
      <c r="A519" s="7"/>
      <c r="B519" s="31" t="s">
        <v>162</v>
      </c>
      <c r="C519" s="7">
        <v>1</v>
      </c>
      <c r="D519" s="7">
        <v>6</v>
      </c>
      <c r="E519" s="7">
        <v>1263</v>
      </c>
      <c r="F519" s="7">
        <f>E519*C519</f>
        <v>1263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4">
        <f>E519*C519+SUM(G519:O519)</f>
        <v>1263</v>
      </c>
      <c r="R519" s="7"/>
      <c r="S519" s="4">
        <f>Q519*$R$17</f>
        <v>15156</v>
      </c>
      <c r="T519" s="12"/>
    </row>
    <row r="520" spans="1:20" ht="12.75">
      <c r="A520" s="10"/>
      <c r="B520" s="26" t="s">
        <v>40</v>
      </c>
      <c r="C520" s="10">
        <f>SUM(C519:C519)</f>
        <v>1</v>
      </c>
      <c r="D520" s="10"/>
      <c r="E520" s="10"/>
      <c r="F520" s="10">
        <f>SUM(F519:F519)</f>
        <v>1263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1">
        <f>SUM(Q519:Q519)</f>
        <v>1263</v>
      </c>
      <c r="R520" s="10">
        <f>SUM(R519:R519)</f>
        <v>0</v>
      </c>
      <c r="S520" s="11">
        <f>SUM(S519:S519)</f>
        <v>15156</v>
      </c>
      <c r="T520" s="12"/>
    </row>
    <row r="521" spans="1:20" ht="12.75" customHeight="1">
      <c r="A521" s="7" t="s">
        <v>28</v>
      </c>
      <c r="B521" s="145" t="s">
        <v>245</v>
      </c>
      <c r="C521" s="2"/>
      <c r="D521" s="3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12"/>
    </row>
    <row r="522" spans="1:20" ht="12.75" customHeight="1">
      <c r="A522" s="7"/>
      <c r="B522" s="31" t="s">
        <v>195</v>
      </c>
      <c r="C522" s="7">
        <v>1</v>
      </c>
      <c r="D522" s="7">
        <v>10</v>
      </c>
      <c r="E522" s="7">
        <v>1551</v>
      </c>
      <c r="F522" s="7">
        <f>E522*C522</f>
        <v>1551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4">
        <f>E522*C522+SUM(G522:O522)</f>
        <v>1551</v>
      </c>
      <c r="R522" s="7"/>
      <c r="S522" s="4">
        <f>Q522*$R$17</f>
        <v>18612</v>
      </c>
      <c r="T522" s="12"/>
    </row>
    <row r="523" spans="1:20" ht="12.75" customHeight="1">
      <c r="A523" s="10"/>
      <c r="B523" s="26" t="s">
        <v>40</v>
      </c>
      <c r="C523" s="10">
        <f>SUM(C521:C522)</f>
        <v>1</v>
      </c>
      <c r="D523" s="10"/>
      <c r="E523" s="10"/>
      <c r="F523" s="10">
        <f>SUM(F521:F522)</f>
        <v>1551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>
        <f>SUM(Q521:Q522)</f>
        <v>1551</v>
      </c>
      <c r="R523" s="10">
        <f>SUM(R521:R522)</f>
        <v>0</v>
      </c>
      <c r="S523" s="10">
        <f>SUM(S521:S522)</f>
        <v>18612</v>
      </c>
      <c r="T523" s="12"/>
    </row>
    <row r="524" spans="1:20" ht="12.75" customHeight="1">
      <c r="A524" s="3" t="s">
        <v>29</v>
      </c>
      <c r="B524" s="2" t="s">
        <v>189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12"/>
    </row>
    <row r="525" spans="1:20" ht="12.75" customHeight="1">
      <c r="A525" s="8"/>
      <c r="B525" s="31" t="s">
        <v>502</v>
      </c>
      <c r="C525" s="7">
        <v>1</v>
      </c>
      <c r="D525" s="7">
        <v>11</v>
      </c>
      <c r="E525" s="7">
        <v>1678</v>
      </c>
      <c r="F525" s="7">
        <f>E525*C525</f>
        <v>1678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4">
        <f>E525*C525+SUM(G525:O525)</f>
        <v>1678</v>
      </c>
      <c r="R525" s="7"/>
      <c r="S525" s="4">
        <f>Q525*$R$17</f>
        <v>20136</v>
      </c>
      <c r="T525" s="12"/>
    </row>
    <row r="526" spans="1:20" ht="12.75" customHeight="1">
      <c r="A526" s="10"/>
      <c r="B526" s="26" t="s">
        <v>40</v>
      </c>
      <c r="C526" s="10">
        <f>SUM(C525:C525)</f>
        <v>1</v>
      </c>
      <c r="D526" s="10"/>
      <c r="E526" s="10"/>
      <c r="F526" s="10">
        <f>SUM(F525:F525)</f>
        <v>1678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>
        <f>SUM(Q525:Q525)</f>
        <v>1678</v>
      </c>
      <c r="R526" s="10">
        <f>SUM(R525:R525)</f>
        <v>0</v>
      </c>
      <c r="S526" s="10">
        <f>SUM(S525:S525)</f>
        <v>20136</v>
      </c>
      <c r="T526" s="12"/>
    </row>
    <row r="527" spans="1:20" ht="12.75" customHeight="1">
      <c r="A527" s="7" t="s">
        <v>59</v>
      </c>
      <c r="B527" s="31" t="s">
        <v>129</v>
      </c>
      <c r="C527" s="7"/>
      <c r="D527" s="7"/>
      <c r="E527" s="4"/>
      <c r="F527" s="7"/>
      <c r="G527" s="4"/>
      <c r="H527" s="7"/>
      <c r="I527" s="7"/>
      <c r="J527" s="7"/>
      <c r="K527" s="7"/>
      <c r="L527" s="7"/>
      <c r="M527" s="7"/>
      <c r="N527" s="7"/>
      <c r="O527" s="7"/>
      <c r="P527" s="7"/>
      <c r="Q527" s="4"/>
      <c r="R527" s="4"/>
      <c r="S527" s="4"/>
      <c r="T527" s="12"/>
    </row>
    <row r="528" spans="1:20" ht="12.75" customHeight="1">
      <c r="A528" s="7"/>
      <c r="B528" s="31" t="s">
        <v>533</v>
      </c>
      <c r="C528" s="7">
        <v>1</v>
      </c>
      <c r="D528" s="7">
        <v>10</v>
      </c>
      <c r="E528" s="4">
        <v>1551</v>
      </c>
      <c r="F528" s="7">
        <f>E528*C528</f>
        <v>1551</v>
      </c>
      <c r="G528" s="4">
        <f>E528*C528*0.5</f>
        <v>775.5</v>
      </c>
      <c r="H528" s="7"/>
      <c r="I528" s="4">
        <f>E528*C528*0.2</f>
        <v>310.20000000000005</v>
      </c>
      <c r="J528" s="7"/>
      <c r="K528" s="7"/>
      <c r="L528" s="7"/>
      <c r="M528" s="7"/>
      <c r="N528" s="7"/>
      <c r="O528" s="7"/>
      <c r="P528" s="4">
        <f>SUM(G528:O528)</f>
        <v>1085.7</v>
      </c>
      <c r="Q528" s="4">
        <f>E528*C528+SUM(G528:O528)</f>
        <v>2636.7</v>
      </c>
      <c r="R528" s="4"/>
      <c r="S528" s="4">
        <f>Q528*$R$17</f>
        <v>31640.399999999998</v>
      </c>
      <c r="T528" s="12"/>
    </row>
    <row r="529" spans="1:20" ht="12.75" customHeight="1">
      <c r="A529" s="7"/>
      <c r="B529" s="31" t="s">
        <v>534</v>
      </c>
      <c r="C529" s="7">
        <v>2</v>
      </c>
      <c r="D529" s="7">
        <v>10</v>
      </c>
      <c r="E529" s="4">
        <v>1551</v>
      </c>
      <c r="F529" s="7">
        <f>E529*C529</f>
        <v>3102</v>
      </c>
      <c r="G529" s="4">
        <f>E529*C529*0.5</f>
        <v>1551</v>
      </c>
      <c r="H529" s="7"/>
      <c r="I529" s="4">
        <f>E529*C529*0.2</f>
        <v>620.4000000000001</v>
      </c>
      <c r="J529" s="7"/>
      <c r="K529" s="7"/>
      <c r="L529" s="7"/>
      <c r="M529" s="7"/>
      <c r="N529" s="7"/>
      <c r="O529" s="7"/>
      <c r="P529" s="4">
        <f>SUM(G529:O529)</f>
        <v>2171.4</v>
      </c>
      <c r="Q529" s="4">
        <f>E529*C529+SUM(G529:O529)</f>
        <v>5273.4</v>
      </c>
      <c r="R529" s="4"/>
      <c r="S529" s="4">
        <f>Q529*$R$17</f>
        <v>63280.799999999996</v>
      </c>
      <c r="T529" s="12"/>
    </row>
    <row r="530" spans="1:20" ht="12.75" customHeight="1">
      <c r="A530" s="7"/>
      <c r="B530" s="31" t="s">
        <v>265</v>
      </c>
      <c r="C530" s="7">
        <v>2</v>
      </c>
      <c r="D530" s="7">
        <v>9</v>
      </c>
      <c r="E530" s="4">
        <v>1474</v>
      </c>
      <c r="F530" s="7">
        <f>E530*C530</f>
        <v>2948</v>
      </c>
      <c r="G530" s="4">
        <f>E530*C530*0.5</f>
        <v>1474</v>
      </c>
      <c r="H530" s="7"/>
      <c r="I530" s="4">
        <f>E530*C530*0.1</f>
        <v>294.8</v>
      </c>
      <c r="J530" s="7"/>
      <c r="K530" s="7"/>
      <c r="L530" s="7"/>
      <c r="M530" s="7"/>
      <c r="N530" s="7"/>
      <c r="O530" s="7"/>
      <c r="P530" s="4">
        <f>SUM(G530:O530)</f>
        <v>1768.8</v>
      </c>
      <c r="Q530" s="4">
        <f>E530*C530+SUM(G530:O530)</f>
        <v>4716.8</v>
      </c>
      <c r="R530" s="4"/>
      <c r="S530" s="4">
        <f>Q530*$R$17</f>
        <v>56601.600000000006</v>
      </c>
      <c r="T530" s="12"/>
    </row>
    <row r="531" spans="1:20" ht="12.75" customHeight="1">
      <c r="A531" s="7"/>
      <c r="B531" s="27" t="s">
        <v>264</v>
      </c>
      <c r="C531" s="8">
        <v>3</v>
      </c>
      <c r="D531" s="8">
        <v>9</v>
      </c>
      <c r="E531" s="9">
        <v>1474</v>
      </c>
      <c r="F531" s="7">
        <f>E531*C531</f>
        <v>4422</v>
      </c>
      <c r="G531" s="4">
        <f>E531*C531*0.5</f>
        <v>2211</v>
      </c>
      <c r="H531" s="8"/>
      <c r="I531" s="4">
        <f>E531*1*0.1</f>
        <v>147.4</v>
      </c>
      <c r="J531" s="9"/>
      <c r="K531" s="8"/>
      <c r="L531" s="8"/>
      <c r="M531" s="8"/>
      <c r="N531" s="8"/>
      <c r="O531" s="8"/>
      <c r="P531" s="4">
        <f>SUM(G531:O531)</f>
        <v>2358.4</v>
      </c>
      <c r="Q531" s="4">
        <f>E531*C531+SUM(G531:O531)</f>
        <v>6780.4</v>
      </c>
      <c r="R531" s="7"/>
      <c r="S531" s="4">
        <f>Q531*$R$17</f>
        <v>81364.79999999999</v>
      </c>
      <c r="T531" s="12"/>
    </row>
    <row r="532" spans="1:20" ht="12.75" customHeight="1">
      <c r="A532" s="10"/>
      <c r="B532" s="26" t="s">
        <v>40</v>
      </c>
      <c r="C532" s="10">
        <f>SUM(C528:C531)</f>
        <v>8</v>
      </c>
      <c r="D532" s="10"/>
      <c r="E532" s="10"/>
      <c r="F532" s="10">
        <f>SUM(F528:F531)</f>
        <v>12023</v>
      </c>
      <c r="G532" s="10">
        <f>SUM(G528:G531)</f>
        <v>6011.5</v>
      </c>
      <c r="H532" s="10"/>
      <c r="I532" s="11">
        <f>SUM(I528:I531)</f>
        <v>1372.8000000000002</v>
      </c>
      <c r="J532" s="10"/>
      <c r="K532" s="10"/>
      <c r="L532" s="10"/>
      <c r="M532" s="10"/>
      <c r="N532" s="10"/>
      <c r="O532" s="10"/>
      <c r="P532" s="11">
        <f>SUM(P528:P531)</f>
        <v>7384.300000000001</v>
      </c>
      <c r="Q532" s="11">
        <f>SUM(Q528:Q531)</f>
        <v>19407.3</v>
      </c>
      <c r="R532" s="11">
        <f>SUM(R528:R531)</f>
        <v>0</v>
      </c>
      <c r="S532" s="11">
        <f>SUM(S528:S531)</f>
        <v>232887.59999999998</v>
      </c>
      <c r="T532" s="12"/>
    </row>
    <row r="533" spans="1:20" ht="12.75" customHeight="1">
      <c r="A533" s="7" t="s">
        <v>62</v>
      </c>
      <c r="B533" s="31" t="s">
        <v>334</v>
      </c>
      <c r="C533" s="7"/>
      <c r="D533" s="7"/>
      <c r="E533" s="7"/>
      <c r="F533" s="7"/>
      <c r="G533" s="7"/>
      <c r="H533" s="7"/>
      <c r="I533" s="4"/>
      <c r="J533" s="7"/>
      <c r="K533" s="7"/>
      <c r="L533" s="7"/>
      <c r="M533" s="7"/>
      <c r="N533" s="7"/>
      <c r="O533" s="7"/>
      <c r="P533" s="4"/>
      <c r="Q533" s="4"/>
      <c r="R533" s="4"/>
      <c r="S533" s="4"/>
      <c r="T533" s="12"/>
    </row>
    <row r="534" spans="1:20" ht="12.75" customHeight="1">
      <c r="A534" s="7"/>
      <c r="B534" s="31" t="s">
        <v>393</v>
      </c>
      <c r="C534" s="7">
        <v>1</v>
      </c>
      <c r="D534" s="7">
        <v>10</v>
      </c>
      <c r="E534" s="7">
        <v>1551</v>
      </c>
      <c r="F534" s="7">
        <f>E534*C534</f>
        <v>1551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4">
        <f>E534*C534+SUM(G534:O534)</f>
        <v>1551</v>
      </c>
      <c r="R534" s="7"/>
      <c r="S534" s="4">
        <f>Q534*$R$17</f>
        <v>18612</v>
      </c>
      <c r="T534" s="12"/>
    </row>
    <row r="535" spans="1:20" ht="12.75" customHeight="1">
      <c r="A535" s="7"/>
      <c r="B535" s="31" t="s">
        <v>394</v>
      </c>
      <c r="C535" s="7">
        <v>1</v>
      </c>
      <c r="D535" s="7">
        <v>9</v>
      </c>
      <c r="E535" s="7">
        <v>1474</v>
      </c>
      <c r="F535" s="7">
        <f>E535*C535</f>
        <v>1474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4">
        <f>E535*C535+SUM(G535:O535)</f>
        <v>1474</v>
      </c>
      <c r="R535" s="7"/>
      <c r="S535" s="4">
        <f>Q535*$R$17</f>
        <v>17688</v>
      </c>
      <c r="T535" s="12"/>
    </row>
    <row r="536" spans="1:20" ht="12.75" customHeight="1">
      <c r="A536" s="7"/>
      <c r="B536" s="123" t="s">
        <v>453</v>
      </c>
      <c r="C536" s="7">
        <v>0.5</v>
      </c>
      <c r="D536" s="7">
        <v>7</v>
      </c>
      <c r="E536" s="7">
        <v>1312</v>
      </c>
      <c r="F536" s="7">
        <f>E536*C536</f>
        <v>656</v>
      </c>
      <c r="G536" s="7"/>
      <c r="H536" s="7"/>
      <c r="I536" s="7"/>
      <c r="J536" s="7"/>
      <c r="K536" s="7"/>
      <c r="L536" s="7"/>
      <c r="M536" s="7"/>
      <c r="N536" s="7"/>
      <c r="O536" s="7"/>
      <c r="P536" s="4"/>
      <c r="Q536" s="4">
        <f>E536*C536+SUM(G536:O536)</f>
        <v>656</v>
      </c>
      <c r="R536" s="7"/>
      <c r="S536" s="4">
        <f>Q536*$R$17</f>
        <v>7872</v>
      </c>
      <c r="T536" s="12"/>
    </row>
    <row r="537" spans="1:20" ht="12.75" customHeight="1">
      <c r="A537" s="7"/>
      <c r="B537" s="31" t="s">
        <v>535</v>
      </c>
      <c r="C537" s="7">
        <v>1</v>
      </c>
      <c r="D537" s="7">
        <v>7</v>
      </c>
      <c r="E537" s="4">
        <v>1312</v>
      </c>
      <c r="F537" s="4">
        <f>E537*C537</f>
        <v>1312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>
        <f>E537*C537+SUM(G537:O537)</f>
        <v>1312</v>
      </c>
      <c r="R537" s="7"/>
      <c r="S537" s="4">
        <f>Q537*$R$17</f>
        <v>15744</v>
      </c>
      <c r="T537" s="12"/>
    </row>
    <row r="538" spans="1:20" ht="12.75" customHeight="1">
      <c r="A538" s="10"/>
      <c r="B538" s="26" t="s">
        <v>40</v>
      </c>
      <c r="C538" s="10">
        <f>SUM(C534:C537)</f>
        <v>3.5</v>
      </c>
      <c r="D538" s="10"/>
      <c r="E538" s="10">
        <f>SUM(E534:E537)</f>
        <v>5649</v>
      </c>
      <c r="F538" s="10">
        <f>SUM(F534:F537)</f>
        <v>4993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>
        <f>SUM(Q534:Q537)</f>
        <v>4993</v>
      </c>
      <c r="R538" s="10">
        <f>SUM(R534:R537)</f>
        <v>0</v>
      </c>
      <c r="S538" s="10">
        <f>SUM(S534:S537)</f>
        <v>59916</v>
      </c>
      <c r="T538" s="12"/>
    </row>
    <row r="539" spans="1:20" ht="24" customHeight="1">
      <c r="A539" s="7" t="s">
        <v>64</v>
      </c>
      <c r="B539" s="31" t="s">
        <v>171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12"/>
    </row>
    <row r="540" spans="1:20" ht="12" customHeight="1">
      <c r="A540" s="7"/>
      <c r="B540" s="31" t="s">
        <v>308</v>
      </c>
      <c r="C540" s="7">
        <v>1</v>
      </c>
      <c r="D540" s="7">
        <v>10</v>
      </c>
      <c r="E540" s="7">
        <v>1551</v>
      </c>
      <c r="F540" s="7">
        <f aca="true" t="shared" si="60" ref="F540:F549">E540*C540</f>
        <v>1551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4">
        <f aca="true" t="shared" si="61" ref="Q540:Q549">E540*C540+SUM(G540:O540)</f>
        <v>1551</v>
      </c>
      <c r="R540" s="7"/>
      <c r="S540" s="4">
        <f aca="true" t="shared" si="62" ref="S540:S549">Q540*$R$17</f>
        <v>18612</v>
      </c>
      <c r="T540" s="12"/>
    </row>
    <row r="541" spans="1:20" ht="12" customHeight="1">
      <c r="A541" s="7"/>
      <c r="B541" s="31" t="s">
        <v>110</v>
      </c>
      <c r="C541" s="7">
        <v>1</v>
      </c>
      <c r="D541" s="7">
        <v>5</v>
      </c>
      <c r="E541" s="7">
        <v>1253</v>
      </c>
      <c r="F541" s="7">
        <f t="shared" si="60"/>
        <v>1253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4">
        <f t="shared" si="61"/>
        <v>1253</v>
      </c>
      <c r="R541" s="7"/>
      <c r="S541" s="4">
        <f t="shared" si="62"/>
        <v>15036</v>
      </c>
      <c r="T541" s="12"/>
    </row>
    <row r="542" spans="1:20" ht="12" customHeight="1">
      <c r="A542" s="7"/>
      <c r="B542" s="31" t="s">
        <v>346</v>
      </c>
      <c r="C542" s="7">
        <v>1.5</v>
      </c>
      <c r="D542" s="7">
        <v>8</v>
      </c>
      <c r="E542" s="4">
        <v>1397</v>
      </c>
      <c r="F542" s="7">
        <f t="shared" si="60"/>
        <v>2095.5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4">
        <f t="shared" si="61"/>
        <v>2095.5</v>
      </c>
      <c r="R542" s="7"/>
      <c r="S542" s="4">
        <f t="shared" si="62"/>
        <v>25146</v>
      </c>
      <c r="T542" s="12"/>
    </row>
    <row r="543" spans="1:20" ht="12" customHeight="1">
      <c r="A543" s="7"/>
      <c r="B543" s="31" t="s">
        <v>403</v>
      </c>
      <c r="C543" s="7">
        <v>1</v>
      </c>
      <c r="D543" s="7">
        <v>5</v>
      </c>
      <c r="E543" s="7">
        <v>1253</v>
      </c>
      <c r="F543" s="7">
        <f t="shared" si="60"/>
        <v>1253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4">
        <f t="shared" si="61"/>
        <v>1253</v>
      </c>
      <c r="R543" s="7"/>
      <c r="S543" s="4">
        <f t="shared" si="62"/>
        <v>15036</v>
      </c>
      <c r="T543" s="12"/>
    </row>
    <row r="544" spans="1:20" ht="12" customHeight="1">
      <c r="A544" s="7"/>
      <c r="B544" s="31" t="s">
        <v>404</v>
      </c>
      <c r="C544" s="7">
        <v>1</v>
      </c>
      <c r="D544" s="7">
        <v>5</v>
      </c>
      <c r="E544" s="7">
        <v>1253</v>
      </c>
      <c r="F544" s="7">
        <f t="shared" si="60"/>
        <v>1253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4">
        <f t="shared" si="61"/>
        <v>1253</v>
      </c>
      <c r="R544" s="7"/>
      <c r="S544" s="4">
        <f t="shared" si="62"/>
        <v>15036</v>
      </c>
      <c r="T544" s="12"/>
    </row>
    <row r="545" spans="1:20" ht="12" customHeight="1">
      <c r="A545" s="7"/>
      <c r="B545" s="31" t="s">
        <v>405</v>
      </c>
      <c r="C545" s="7">
        <v>1</v>
      </c>
      <c r="D545" s="7">
        <v>10</v>
      </c>
      <c r="E545" s="7">
        <v>1551</v>
      </c>
      <c r="F545" s="7">
        <f t="shared" si="60"/>
        <v>1551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4">
        <f t="shared" si="61"/>
        <v>1551</v>
      </c>
      <c r="R545" s="7"/>
      <c r="S545" s="4">
        <f t="shared" si="62"/>
        <v>18612</v>
      </c>
      <c r="T545" s="12"/>
    </row>
    <row r="546" spans="1:20" ht="12" customHeight="1">
      <c r="A546" s="7"/>
      <c r="B546" s="31" t="s">
        <v>406</v>
      </c>
      <c r="C546" s="7">
        <v>4</v>
      </c>
      <c r="D546" s="7">
        <v>4</v>
      </c>
      <c r="E546" s="7">
        <v>1243</v>
      </c>
      <c r="F546" s="7">
        <f t="shared" si="60"/>
        <v>4972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4">
        <f t="shared" si="61"/>
        <v>4972</v>
      </c>
      <c r="R546" s="7"/>
      <c r="S546" s="4">
        <f t="shared" si="62"/>
        <v>59664</v>
      </c>
      <c r="T546" s="12"/>
    </row>
    <row r="547" spans="1:20" ht="12" customHeight="1">
      <c r="A547" s="7"/>
      <c r="B547" s="31" t="s">
        <v>407</v>
      </c>
      <c r="C547" s="7">
        <v>1</v>
      </c>
      <c r="D547" s="7">
        <v>4</v>
      </c>
      <c r="E547" s="7">
        <v>1243</v>
      </c>
      <c r="F547" s="7">
        <f t="shared" si="60"/>
        <v>1243</v>
      </c>
      <c r="G547" s="7"/>
      <c r="H547" s="7"/>
      <c r="I547" s="4"/>
      <c r="J547" s="7"/>
      <c r="K547" s="7"/>
      <c r="L547" s="7"/>
      <c r="M547" s="7"/>
      <c r="N547" s="7"/>
      <c r="O547" s="7"/>
      <c r="P547" s="4"/>
      <c r="Q547" s="4">
        <f t="shared" si="61"/>
        <v>1243</v>
      </c>
      <c r="R547" s="7"/>
      <c r="S547" s="4">
        <f t="shared" si="62"/>
        <v>14916</v>
      </c>
      <c r="T547" s="12"/>
    </row>
    <row r="548" spans="1:20" ht="12" customHeight="1">
      <c r="A548" s="7"/>
      <c r="B548" s="123" t="s">
        <v>408</v>
      </c>
      <c r="C548" s="7">
        <v>0.5</v>
      </c>
      <c r="D548" s="7">
        <v>4</v>
      </c>
      <c r="E548" s="7">
        <v>1243</v>
      </c>
      <c r="F548" s="4">
        <f t="shared" si="60"/>
        <v>621.5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4">
        <f t="shared" si="61"/>
        <v>621.5</v>
      </c>
      <c r="R548" s="7"/>
      <c r="S548" s="4">
        <f t="shared" si="62"/>
        <v>7458</v>
      </c>
      <c r="T548" s="12"/>
    </row>
    <row r="549" spans="1:20" ht="12" customHeight="1">
      <c r="A549" s="7"/>
      <c r="B549" s="31" t="s">
        <v>409</v>
      </c>
      <c r="C549" s="7">
        <v>1</v>
      </c>
      <c r="D549" s="7">
        <v>4</v>
      </c>
      <c r="E549" s="7">
        <v>1243</v>
      </c>
      <c r="F549" s="7">
        <f t="shared" si="60"/>
        <v>1243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4">
        <f t="shared" si="61"/>
        <v>1243</v>
      </c>
      <c r="R549" s="7"/>
      <c r="S549" s="4">
        <f t="shared" si="62"/>
        <v>14916</v>
      </c>
      <c r="T549" s="12"/>
    </row>
    <row r="550" spans="1:20" ht="12" customHeight="1">
      <c r="A550" s="10"/>
      <c r="B550" s="26" t="s">
        <v>40</v>
      </c>
      <c r="C550" s="10">
        <f>SUM(C540:C549)</f>
        <v>13</v>
      </c>
      <c r="D550" s="10"/>
      <c r="E550" s="10"/>
      <c r="F550" s="10">
        <f>SUM(F540:F549)</f>
        <v>17036</v>
      </c>
      <c r="G550" s="10"/>
      <c r="H550" s="10"/>
      <c r="I550" s="11"/>
      <c r="J550" s="10"/>
      <c r="K550" s="10"/>
      <c r="L550" s="10"/>
      <c r="M550" s="10"/>
      <c r="N550" s="10"/>
      <c r="O550" s="10"/>
      <c r="P550" s="11"/>
      <c r="Q550" s="11">
        <f>SUM(Q540:Q549)</f>
        <v>17036</v>
      </c>
      <c r="R550" s="11">
        <f>SUM(R540:R549)</f>
        <v>0</v>
      </c>
      <c r="S550" s="11">
        <f>SUM(S540:S549)</f>
        <v>204432</v>
      </c>
      <c r="T550" s="12"/>
    </row>
    <row r="551" spans="1:20" ht="24" customHeight="1">
      <c r="A551" s="3" t="s">
        <v>66</v>
      </c>
      <c r="B551" s="2" t="s">
        <v>176</v>
      </c>
      <c r="C551" s="3"/>
      <c r="D551" s="3"/>
      <c r="E551" s="3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12"/>
    </row>
    <row r="552" spans="1:20" ht="12" customHeight="1">
      <c r="A552" s="7"/>
      <c r="B552" s="31" t="s">
        <v>96</v>
      </c>
      <c r="C552" s="7">
        <v>1</v>
      </c>
      <c r="D552" s="7">
        <v>10</v>
      </c>
      <c r="E552" s="7">
        <v>1551</v>
      </c>
      <c r="F552" s="7">
        <f>E552*C552</f>
        <v>1551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4">
        <f>E552*C552+SUM(G552:O552)</f>
        <v>1551</v>
      </c>
      <c r="R552" s="7"/>
      <c r="S552" s="4">
        <f>Q552*$R$17</f>
        <v>18612</v>
      </c>
      <c r="T552" s="12"/>
    </row>
    <row r="553" spans="1:20" ht="12" customHeight="1">
      <c r="A553" s="7"/>
      <c r="B553" s="31" t="s">
        <v>46</v>
      </c>
      <c r="C553" s="7">
        <v>1</v>
      </c>
      <c r="D553" s="7">
        <v>9</v>
      </c>
      <c r="E553" s="7">
        <v>1474</v>
      </c>
      <c r="F553" s="7">
        <f>E553*C553</f>
        <v>1474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4">
        <f>E553*C553+SUM(G553:O553)</f>
        <v>1474</v>
      </c>
      <c r="R553" s="7"/>
      <c r="S553" s="4">
        <f>Q553*$R$17</f>
        <v>17688</v>
      </c>
      <c r="T553" s="12"/>
    </row>
    <row r="554" spans="1:20" ht="12" customHeight="1">
      <c r="A554" s="7"/>
      <c r="B554" s="31" t="s">
        <v>77</v>
      </c>
      <c r="C554" s="7">
        <v>2</v>
      </c>
      <c r="D554" s="7">
        <v>7</v>
      </c>
      <c r="E554" s="7">
        <v>1312</v>
      </c>
      <c r="F554" s="7">
        <f>E554*C554</f>
        <v>2624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4">
        <f>E554*C554+SUM(G554:O554)</f>
        <v>2624</v>
      </c>
      <c r="R554" s="7"/>
      <c r="S554" s="4">
        <f>Q554*$R$17</f>
        <v>31488</v>
      </c>
      <c r="T554" s="12"/>
    </row>
    <row r="555" spans="1:20" ht="12" customHeight="1">
      <c r="A555" s="10"/>
      <c r="B555" s="26" t="s">
        <v>40</v>
      </c>
      <c r="C555" s="10">
        <f>SUM(C552:C554)</f>
        <v>4</v>
      </c>
      <c r="D555" s="10"/>
      <c r="E555" s="10"/>
      <c r="F555" s="10">
        <f>SUM(F552:F554)</f>
        <v>5649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1">
        <f>SUM(Q552:Q554)</f>
        <v>5649</v>
      </c>
      <c r="R555" s="10">
        <f>SUM(R552:R554)</f>
        <v>0</v>
      </c>
      <c r="S555" s="10">
        <f>SUM(S552:S554)</f>
        <v>67788</v>
      </c>
      <c r="T555" s="12"/>
    </row>
    <row r="556" spans="1:20" ht="12" customHeight="1">
      <c r="A556" s="3" t="s">
        <v>67</v>
      </c>
      <c r="B556" s="2" t="s">
        <v>472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12"/>
    </row>
    <row r="557" spans="1:20" ht="12" customHeight="1">
      <c r="A557" s="7"/>
      <c r="B557" s="31" t="s">
        <v>326</v>
      </c>
      <c r="C557" s="7">
        <v>1</v>
      </c>
      <c r="D557" s="7">
        <v>10</v>
      </c>
      <c r="E557" s="7">
        <v>1551</v>
      </c>
      <c r="F557" s="7">
        <f>E557*C557</f>
        <v>1551</v>
      </c>
      <c r="G557" s="7"/>
      <c r="H557" s="7"/>
      <c r="I557" s="4">
        <f>E557*C557*0.3</f>
        <v>465.29999999999995</v>
      </c>
      <c r="J557" s="7"/>
      <c r="K557" s="7"/>
      <c r="L557" s="7"/>
      <c r="M557" s="7"/>
      <c r="N557" s="7"/>
      <c r="O557" s="7"/>
      <c r="P557" s="4">
        <f>SUM(G557:O557)</f>
        <v>465.29999999999995</v>
      </c>
      <c r="Q557" s="4">
        <f>E557*C557+SUM(G557:O557)</f>
        <v>2016.3</v>
      </c>
      <c r="R557" s="7"/>
      <c r="S557" s="4">
        <f>Q557*$R$17</f>
        <v>24195.6</v>
      </c>
      <c r="T557" s="12"/>
    </row>
    <row r="558" spans="1:20" ht="12" customHeight="1">
      <c r="A558" s="7"/>
      <c r="B558" s="31" t="s">
        <v>164</v>
      </c>
      <c r="C558" s="7">
        <v>1</v>
      </c>
      <c r="D558" s="7">
        <v>6</v>
      </c>
      <c r="E558" s="4">
        <v>1263</v>
      </c>
      <c r="F558" s="71">
        <f>E558*C558</f>
        <v>1263</v>
      </c>
      <c r="G558" s="7"/>
      <c r="H558" s="7"/>
      <c r="I558" s="4"/>
      <c r="J558" s="4"/>
      <c r="K558" s="4"/>
      <c r="L558" s="4"/>
      <c r="M558" s="4"/>
      <c r="N558" s="4"/>
      <c r="O558" s="4"/>
      <c r="P558" s="4"/>
      <c r="Q558" s="4">
        <f>E558*C558+SUM(G558:O558)</f>
        <v>1263</v>
      </c>
      <c r="R558" s="4"/>
      <c r="S558" s="4">
        <f>Q558*$R$17</f>
        <v>15156</v>
      </c>
      <c r="T558" s="12"/>
    </row>
    <row r="559" spans="1:20" ht="12" customHeight="1">
      <c r="A559" s="8"/>
      <c r="B559" s="27" t="s">
        <v>122</v>
      </c>
      <c r="C559" s="8">
        <v>1</v>
      </c>
      <c r="D559" s="8">
        <v>5</v>
      </c>
      <c r="E559" s="8">
        <v>1253</v>
      </c>
      <c r="F559" s="8">
        <f>E559*C559</f>
        <v>1253</v>
      </c>
      <c r="G559" s="8"/>
      <c r="H559" s="8"/>
      <c r="I559" s="9"/>
      <c r="J559" s="8"/>
      <c r="K559" s="8"/>
      <c r="L559" s="8"/>
      <c r="M559" s="8"/>
      <c r="N559" s="8"/>
      <c r="O559" s="8"/>
      <c r="P559" s="9"/>
      <c r="Q559" s="9">
        <f>E559*C559+SUM(G559:O559)</f>
        <v>1253</v>
      </c>
      <c r="R559" s="8"/>
      <c r="S559" s="9">
        <f>Q559*$R$17</f>
        <v>15036</v>
      </c>
      <c r="T559" s="12"/>
    </row>
    <row r="560" spans="1:20" ht="12" customHeight="1">
      <c r="A560" s="10"/>
      <c r="B560" s="26" t="s">
        <v>40</v>
      </c>
      <c r="C560" s="10">
        <f>SUM(C557:C559)</f>
        <v>3</v>
      </c>
      <c r="D560" s="10"/>
      <c r="E560" s="10"/>
      <c r="F560" s="10">
        <f>SUM(F557:F559)</f>
        <v>4067</v>
      </c>
      <c r="G560" s="10"/>
      <c r="H560" s="10"/>
      <c r="I560" s="11">
        <f>SUM(I557:I559)</f>
        <v>465.29999999999995</v>
      </c>
      <c r="J560" s="11"/>
      <c r="K560" s="11"/>
      <c r="L560" s="11"/>
      <c r="M560" s="11"/>
      <c r="N560" s="11"/>
      <c r="O560" s="11"/>
      <c r="P560" s="11">
        <f>SUM(P557:P559)</f>
        <v>465.29999999999995</v>
      </c>
      <c r="Q560" s="11">
        <f>SUM(Q557:Q559)</f>
        <v>4532.3</v>
      </c>
      <c r="R560" s="11">
        <f>SUM(R557:R558)</f>
        <v>0</v>
      </c>
      <c r="S560" s="11">
        <f>SUM(S557:S559)</f>
        <v>54387.6</v>
      </c>
      <c r="T560" s="12"/>
    </row>
    <row r="561" spans="1:20" ht="12" customHeight="1">
      <c r="A561" s="3" t="s">
        <v>68</v>
      </c>
      <c r="B561" s="2" t="s">
        <v>273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12"/>
    </row>
    <row r="562" spans="1:20" ht="12" customHeight="1">
      <c r="A562" s="7"/>
      <c r="B562" s="31" t="s">
        <v>96</v>
      </c>
      <c r="C562" s="7">
        <v>1</v>
      </c>
      <c r="D562" s="7">
        <v>12</v>
      </c>
      <c r="E562" s="7">
        <v>1806</v>
      </c>
      <c r="F562" s="7">
        <f>E562*C562</f>
        <v>1806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4">
        <f>E562*C562+SUM(G562:O562)</f>
        <v>1806</v>
      </c>
      <c r="R562" s="7"/>
      <c r="S562" s="4">
        <f>Q562*$R$17</f>
        <v>21672</v>
      </c>
      <c r="T562" s="12"/>
    </row>
    <row r="563" spans="1:20" ht="12" customHeight="1">
      <c r="A563" s="7"/>
      <c r="B563" s="31" t="s">
        <v>551</v>
      </c>
      <c r="C563" s="7">
        <v>1</v>
      </c>
      <c r="D563" s="7"/>
      <c r="E563" s="7">
        <v>1716</v>
      </c>
      <c r="F563" s="7">
        <f>E563*C563</f>
        <v>1716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4">
        <f>E563*C563+SUM(G563:O563)</f>
        <v>1716</v>
      </c>
      <c r="R563" s="7"/>
      <c r="S563" s="4">
        <f>Q563*$R$17</f>
        <v>20592</v>
      </c>
      <c r="T563" s="12"/>
    </row>
    <row r="564" spans="1:20" ht="12" customHeight="1">
      <c r="A564" s="8"/>
      <c r="B564" s="31" t="s">
        <v>491</v>
      </c>
      <c r="C564" s="7">
        <v>1</v>
      </c>
      <c r="D564" s="7">
        <v>6</v>
      </c>
      <c r="E564" s="4">
        <v>1263</v>
      </c>
      <c r="F564" s="71">
        <f>E564*C564</f>
        <v>1263</v>
      </c>
      <c r="G564" s="7"/>
      <c r="H564" s="7"/>
      <c r="I564" s="4"/>
      <c r="J564" s="8"/>
      <c r="K564" s="8"/>
      <c r="L564" s="8"/>
      <c r="M564" s="8"/>
      <c r="N564" s="8"/>
      <c r="O564" s="8"/>
      <c r="P564" s="8"/>
      <c r="Q564" s="9">
        <f>E564*C564+SUM(G564:O564)</f>
        <v>1263</v>
      </c>
      <c r="R564" s="8"/>
      <c r="S564" s="9">
        <f>Q564*$R$17</f>
        <v>15156</v>
      </c>
      <c r="T564" s="12"/>
    </row>
    <row r="565" spans="1:20" ht="12" customHeight="1">
      <c r="A565" s="10"/>
      <c r="B565" s="26" t="s">
        <v>40</v>
      </c>
      <c r="C565" s="11">
        <f>SUM(C562:C564)</f>
        <v>3</v>
      </c>
      <c r="D565" s="11"/>
      <c r="E565" s="11"/>
      <c r="F565" s="11">
        <f>SUM(F562:F564)</f>
        <v>4785</v>
      </c>
      <c r="G565" s="11"/>
      <c r="H565" s="10"/>
      <c r="I565" s="10"/>
      <c r="J565" s="10"/>
      <c r="K565" s="10"/>
      <c r="L565" s="10"/>
      <c r="M565" s="10"/>
      <c r="N565" s="10"/>
      <c r="O565" s="10"/>
      <c r="P565" s="10"/>
      <c r="Q565" s="11">
        <f>SUM(Q562:Q564)</f>
        <v>4785</v>
      </c>
      <c r="R565" s="11">
        <f>SUM(R562:R564)</f>
        <v>0</v>
      </c>
      <c r="S565" s="11">
        <f>SUM(S562:S564)</f>
        <v>57420</v>
      </c>
      <c r="T565" s="12"/>
    </row>
    <row r="566" spans="1:20" ht="12" customHeight="1">
      <c r="A566" s="3" t="s">
        <v>70</v>
      </c>
      <c r="B566" s="2" t="s">
        <v>351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12"/>
    </row>
    <row r="567" spans="1:20" ht="12" customHeight="1">
      <c r="A567" s="7"/>
      <c r="B567" s="31" t="s">
        <v>297</v>
      </c>
      <c r="C567" s="7">
        <v>1</v>
      </c>
      <c r="D567" s="7">
        <v>4</v>
      </c>
      <c r="E567" s="7">
        <v>1243</v>
      </c>
      <c r="F567" s="7">
        <f>E567*C567</f>
        <v>1243</v>
      </c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4">
        <f>E567*C567+SUM(G567:O567)</f>
        <v>1243</v>
      </c>
      <c r="R567" s="7"/>
      <c r="S567" s="4">
        <f>Q567*$R$17</f>
        <v>14916</v>
      </c>
      <c r="T567" s="12"/>
    </row>
    <row r="568" spans="1:20" ht="12" customHeight="1">
      <c r="A568" s="8"/>
      <c r="B568" s="53" t="s">
        <v>110</v>
      </c>
      <c r="C568" s="7">
        <v>1</v>
      </c>
      <c r="D568" s="7">
        <v>4</v>
      </c>
      <c r="E568" s="7">
        <v>1243</v>
      </c>
      <c r="F568" s="7">
        <f>E568*C568</f>
        <v>1243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4">
        <f>E568*C568+SUM(G568:O568)</f>
        <v>1243</v>
      </c>
      <c r="R568" s="7"/>
      <c r="S568" s="4">
        <f>Q568*$R$17</f>
        <v>14916</v>
      </c>
      <c r="T568" s="12"/>
    </row>
    <row r="569" spans="1:20" ht="12" customHeight="1">
      <c r="A569" s="8"/>
      <c r="B569" s="27" t="s">
        <v>40</v>
      </c>
      <c r="C569" s="10">
        <f>SUM(C567:C568)</f>
        <v>2</v>
      </c>
      <c r="D569" s="10"/>
      <c r="E569" s="10"/>
      <c r="F569" s="10">
        <f>SUM(F567:F568)</f>
        <v>2486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>
        <f>SUM(Q567:Q568)</f>
        <v>2486</v>
      </c>
      <c r="R569" s="10">
        <f>SUM(R567:R568)</f>
        <v>0</v>
      </c>
      <c r="S569" s="10">
        <f>SUM(S567:S568)</f>
        <v>29832</v>
      </c>
      <c r="T569" s="12"/>
    </row>
    <row r="570" spans="1:20" ht="12" customHeight="1">
      <c r="A570" s="3" t="s">
        <v>71</v>
      </c>
      <c r="B570" s="2" t="s">
        <v>127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12"/>
    </row>
    <row r="571" spans="1:20" ht="12" customHeight="1">
      <c r="A571" s="8"/>
      <c r="B571" s="27" t="s">
        <v>128</v>
      </c>
      <c r="C571" s="8">
        <v>1</v>
      </c>
      <c r="D571" s="8">
        <v>9</v>
      </c>
      <c r="E571" s="8">
        <v>1474</v>
      </c>
      <c r="F571" s="7">
        <f>E571*C571</f>
        <v>1474</v>
      </c>
      <c r="G571" s="8"/>
      <c r="H571" s="8"/>
      <c r="I571" s="8"/>
      <c r="J571" s="8"/>
      <c r="K571" s="8"/>
      <c r="L571" s="8"/>
      <c r="M571" s="8"/>
      <c r="N571" s="8"/>
      <c r="O571" s="8"/>
      <c r="P571" s="7"/>
      <c r="Q571" s="4">
        <f>E571*C571+SUM(G571:O571)</f>
        <v>1474</v>
      </c>
      <c r="R571" s="7"/>
      <c r="S571" s="4">
        <f>Q571*$R$17</f>
        <v>17688</v>
      </c>
      <c r="T571" s="12"/>
    </row>
    <row r="572" spans="1:20" ht="12" customHeight="1">
      <c r="A572" s="10"/>
      <c r="B572" s="26" t="s">
        <v>40</v>
      </c>
      <c r="C572" s="10">
        <f>SUM(C571)</f>
        <v>1</v>
      </c>
      <c r="D572" s="10"/>
      <c r="E572" s="10"/>
      <c r="F572" s="10">
        <f>SUM(F571)</f>
        <v>1474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>
        <f>SUM(Q571:Q571)</f>
        <v>1474</v>
      </c>
      <c r="R572" s="10"/>
      <c r="S572" s="10">
        <f>SUM(S571)</f>
        <v>17688</v>
      </c>
      <c r="T572" s="12"/>
    </row>
    <row r="573" spans="1:20" ht="12" customHeight="1">
      <c r="A573" s="3" t="s">
        <v>72</v>
      </c>
      <c r="B573" s="2" t="s">
        <v>183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12"/>
    </row>
    <row r="574" spans="1:20" ht="12" customHeight="1">
      <c r="A574" s="7"/>
      <c r="B574" s="31" t="s">
        <v>96</v>
      </c>
      <c r="C574" s="7">
        <v>1</v>
      </c>
      <c r="D574" s="7">
        <v>11</v>
      </c>
      <c r="E574" s="7">
        <v>1678</v>
      </c>
      <c r="F574" s="7">
        <f aca="true" t="shared" si="63" ref="F574:F579">E574*C574</f>
        <v>1678</v>
      </c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4">
        <f aca="true" t="shared" si="64" ref="Q574:Q579">E574*C574+SUM(G574:O574)</f>
        <v>1678</v>
      </c>
      <c r="R574" s="7"/>
      <c r="S574" s="4">
        <f aca="true" t="shared" si="65" ref="S574:S579">Q574*$R$17</f>
        <v>20136</v>
      </c>
      <c r="T574" s="12"/>
    </row>
    <row r="575" spans="1:20" ht="12" customHeight="1">
      <c r="A575" s="7"/>
      <c r="B575" s="31" t="s">
        <v>175</v>
      </c>
      <c r="C575" s="7">
        <v>1</v>
      </c>
      <c r="D575" s="7">
        <v>7</v>
      </c>
      <c r="E575" s="7">
        <v>1312</v>
      </c>
      <c r="F575" s="7">
        <f t="shared" si="63"/>
        <v>1312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4">
        <f t="shared" si="64"/>
        <v>1312</v>
      </c>
      <c r="R575" s="7"/>
      <c r="S575" s="4">
        <f t="shared" si="65"/>
        <v>15744</v>
      </c>
      <c r="T575" s="12"/>
    </row>
    <row r="576" spans="1:20" ht="12" customHeight="1">
      <c r="A576" s="7"/>
      <c r="B576" s="31" t="s">
        <v>139</v>
      </c>
      <c r="C576" s="7">
        <v>1</v>
      </c>
      <c r="D576" s="7">
        <v>7</v>
      </c>
      <c r="E576" s="7">
        <v>1312</v>
      </c>
      <c r="F576" s="7">
        <f t="shared" si="63"/>
        <v>1312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4">
        <f t="shared" si="64"/>
        <v>1312</v>
      </c>
      <c r="R576" s="7"/>
      <c r="S576" s="4">
        <f t="shared" si="65"/>
        <v>15744</v>
      </c>
      <c r="T576" s="12"/>
    </row>
    <row r="577" spans="1:20" ht="12" customHeight="1">
      <c r="A577" s="7"/>
      <c r="B577" s="31" t="s">
        <v>552</v>
      </c>
      <c r="C577" s="7">
        <v>1</v>
      </c>
      <c r="D577" s="7">
        <v>4</v>
      </c>
      <c r="E577" s="7">
        <v>1243</v>
      </c>
      <c r="F577" s="7">
        <f t="shared" si="63"/>
        <v>1243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4">
        <f t="shared" si="64"/>
        <v>1243</v>
      </c>
      <c r="R577" s="7"/>
      <c r="S577" s="4">
        <f t="shared" si="65"/>
        <v>14916</v>
      </c>
      <c r="T577" s="12"/>
    </row>
    <row r="578" spans="1:20" ht="12" customHeight="1">
      <c r="A578" s="7"/>
      <c r="B578" s="55" t="s">
        <v>553</v>
      </c>
      <c r="C578" s="7">
        <v>2</v>
      </c>
      <c r="D578" s="7">
        <v>4</v>
      </c>
      <c r="E578" s="7">
        <v>1243</v>
      </c>
      <c r="F578" s="7">
        <f t="shared" si="63"/>
        <v>2486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4">
        <f t="shared" si="64"/>
        <v>2486</v>
      </c>
      <c r="R578" s="7"/>
      <c r="S578" s="4">
        <f t="shared" si="65"/>
        <v>29832</v>
      </c>
      <c r="T578" s="12"/>
    </row>
    <row r="579" spans="1:20" ht="12" customHeight="1">
      <c r="A579" s="7"/>
      <c r="B579" s="31" t="s">
        <v>554</v>
      </c>
      <c r="C579" s="7">
        <v>1</v>
      </c>
      <c r="D579" s="7">
        <v>4</v>
      </c>
      <c r="E579" s="7">
        <v>1243</v>
      </c>
      <c r="F579" s="7">
        <f t="shared" si="63"/>
        <v>1243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4">
        <f t="shared" si="64"/>
        <v>1243</v>
      </c>
      <c r="R579" s="7"/>
      <c r="S579" s="4">
        <f t="shared" si="65"/>
        <v>14916</v>
      </c>
      <c r="T579" s="12"/>
    </row>
    <row r="580" spans="1:20" ht="12" customHeight="1">
      <c r="A580" s="10"/>
      <c r="B580" s="26" t="s">
        <v>40</v>
      </c>
      <c r="C580" s="10">
        <f>SUM(C574:C579)</f>
        <v>7</v>
      </c>
      <c r="D580" s="10"/>
      <c r="E580" s="10"/>
      <c r="F580" s="10">
        <f>SUM(F574:F579)</f>
        <v>9274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1">
        <f>SUM(Q574:Q579)</f>
        <v>9274</v>
      </c>
      <c r="R580" s="11">
        <f>SUM(R574:R579)</f>
        <v>0</v>
      </c>
      <c r="S580" s="11">
        <f>SUM(S574:S579)</f>
        <v>111288</v>
      </c>
      <c r="T580" s="12"/>
    </row>
    <row r="581" spans="1:20" ht="12.75" customHeight="1">
      <c r="A581" s="3" t="s">
        <v>74</v>
      </c>
      <c r="B581" s="2" t="s">
        <v>111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12"/>
    </row>
    <row r="582" spans="1:20" ht="12.75" customHeight="1">
      <c r="A582" s="7"/>
      <c r="B582" s="31" t="s">
        <v>226</v>
      </c>
      <c r="C582" s="7">
        <v>1</v>
      </c>
      <c r="D582" s="7">
        <v>7</v>
      </c>
      <c r="E582" s="7">
        <v>1312</v>
      </c>
      <c r="F582" s="7">
        <f>E582*C582</f>
        <v>1312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4">
        <f>E582*C582+SUM(G582:O582)</f>
        <v>1312</v>
      </c>
      <c r="R582" s="7"/>
      <c r="S582" s="4">
        <f>Q582*$R$17</f>
        <v>15744</v>
      </c>
      <c r="T582" s="12"/>
    </row>
    <row r="583" spans="1:20" ht="36.75" customHeight="1">
      <c r="A583" s="7"/>
      <c r="B583" s="31" t="s">
        <v>520</v>
      </c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4"/>
      <c r="R583" s="7"/>
      <c r="S583" s="4"/>
      <c r="T583" s="12"/>
    </row>
    <row r="584" spans="1:20" ht="12.75" customHeight="1">
      <c r="A584" s="7"/>
      <c r="B584" s="31" t="s">
        <v>212</v>
      </c>
      <c r="C584" s="7">
        <v>5</v>
      </c>
      <c r="D584" s="7">
        <v>2</v>
      </c>
      <c r="E584" s="42">
        <v>1223</v>
      </c>
      <c r="F584" s="7">
        <f>E584*C584</f>
        <v>6115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4">
        <f>E584*C584+SUM(G584:O584)</f>
        <v>6115</v>
      </c>
      <c r="R584" s="7"/>
      <c r="S584" s="4">
        <f>Q584*$R$17</f>
        <v>73380</v>
      </c>
      <c r="T584" s="12"/>
    </row>
    <row r="585" spans="1:20" ht="40.5" customHeight="1">
      <c r="A585" s="7"/>
      <c r="B585" s="31" t="s">
        <v>499</v>
      </c>
      <c r="C585" s="7">
        <v>13</v>
      </c>
      <c r="D585" s="7">
        <v>2</v>
      </c>
      <c r="E585" s="7">
        <v>1223</v>
      </c>
      <c r="F585" s="7">
        <f>E585*C585</f>
        <v>15899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4">
        <f>SUM(F585:O585)</f>
        <v>15899</v>
      </c>
      <c r="R585" s="7"/>
      <c r="S585" s="4">
        <f>Q585*$R$17</f>
        <v>190788</v>
      </c>
      <c r="T585" s="12"/>
    </row>
    <row r="586" spans="1:20" ht="12.75" customHeight="1">
      <c r="A586" s="7"/>
      <c r="B586" s="120" t="s">
        <v>216</v>
      </c>
      <c r="C586" s="7">
        <v>6</v>
      </c>
      <c r="D586" s="7">
        <v>2</v>
      </c>
      <c r="E586" s="7">
        <v>1223</v>
      </c>
      <c r="F586" s="7">
        <f>E586*C586</f>
        <v>7338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4">
        <f>SUM(F586:O586)</f>
        <v>7338</v>
      </c>
      <c r="R586" s="7"/>
      <c r="S586" s="4">
        <f>Q586*$R$17</f>
        <v>88056</v>
      </c>
      <c r="T586" s="12"/>
    </row>
    <row r="587" spans="1:20" ht="12.75" customHeight="1">
      <c r="A587" s="10"/>
      <c r="B587" s="26" t="s">
        <v>40</v>
      </c>
      <c r="C587" s="10">
        <f>SUM(C582:C586)</f>
        <v>25</v>
      </c>
      <c r="D587" s="10"/>
      <c r="E587" s="10"/>
      <c r="F587" s="10">
        <f>SUM(F582:F586)</f>
        <v>30664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1">
        <f>SUM(Q582:Q586)</f>
        <v>30664</v>
      </c>
      <c r="R587" s="10">
        <f>SUM(R582:R586)</f>
        <v>0</v>
      </c>
      <c r="S587" s="11">
        <f>SUM(S582:S586)</f>
        <v>367968</v>
      </c>
      <c r="T587" s="12"/>
    </row>
    <row r="588" spans="1:20" ht="12.75" customHeight="1">
      <c r="A588" s="3" t="s">
        <v>76</v>
      </c>
      <c r="B588" s="2" t="s">
        <v>274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5"/>
      <c r="R588" s="5"/>
      <c r="S588" s="5"/>
      <c r="T588" s="12"/>
    </row>
    <row r="589" spans="1:20" ht="12.75">
      <c r="A589" s="7"/>
      <c r="B589" s="31" t="s">
        <v>96</v>
      </c>
      <c r="C589" s="7">
        <v>1</v>
      </c>
      <c r="D589" s="7">
        <v>10</v>
      </c>
      <c r="E589" s="4">
        <v>1551</v>
      </c>
      <c r="F589" s="7">
        <f>E589*C589</f>
        <v>1551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>
        <f>E589*C589+SUM(G589:O589)</f>
        <v>1551</v>
      </c>
      <c r="R589" s="7"/>
      <c r="S589" s="4">
        <f>Q589*$R$17</f>
        <v>18612</v>
      </c>
      <c r="T589" s="12"/>
    </row>
    <row r="590" spans="1:20" ht="12.75">
      <c r="A590" s="7"/>
      <c r="B590" s="31" t="s">
        <v>61</v>
      </c>
      <c r="C590" s="7">
        <v>1</v>
      </c>
      <c r="D590" s="7">
        <v>7</v>
      </c>
      <c r="E590" s="4">
        <v>1312</v>
      </c>
      <c r="F590" s="7">
        <f>E590*C590</f>
        <v>1312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>
        <f>E590*C590+SUM(G590:O590)</f>
        <v>1312</v>
      </c>
      <c r="R590" s="7"/>
      <c r="S590" s="4">
        <f>Q590*$R$17</f>
        <v>15744</v>
      </c>
      <c r="T590" s="12"/>
    </row>
    <row r="591" spans="1:20" ht="12.75">
      <c r="A591" s="7"/>
      <c r="B591" s="31" t="s">
        <v>122</v>
      </c>
      <c r="C591" s="7">
        <v>1</v>
      </c>
      <c r="D591" s="7">
        <v>5</v>
      </c>
      <c r="E591" s="4">
        <v>1253</v>
      </c>
      <c r="F591" s="7">
        <f>E591*C591</f>
        <v>1253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>
        <f>E591*C591+SUM(G591:O591)</f>
        <v>1253</v>
      </c>
      <c r="R591" s="7"/>
      <c r="S591" s="4">
        <f>Q591*$R$17</f>
        <v>15036</v>
      </c>
      <c r="T591" s="12"/>
    </row>
    <row r="592" spans="1:20" ht="12.75">
      <c r="A592" s="10"/>
      <c r="B592" s="26" t="s">
        <v>40</v>
      </c>
      <c r="C592" s="10">
        <f>SUM(C589:C591)</f>
        <v>3</v>
      </c>
      <c r="D592" s="10"/>
      <c r="E592" s="10">
        <f>SUM(E589:E591)</f>
        <v>4116</v>
      </c>
      <c r="F592" s="10">
        <f>SUM(F589:F591)</f>
        <v>4116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>
        <f>SUM(Q589:Q591)</f>
        <v>4116</v>
      </c>
      <c r="R592" s="10">
        <f>SUM(R589:R591)</f>
        <v>0</v>
      </c>
      <c r="S592" s="10">
        <f>SUM(S589:S591)</f>
        <v>49392</v>
      </c>
      <c r="T592" s="12"/>
    </row>
    <row r="593" spans="1:20" ht="12.75">
      <c r="A593" s="3" t="s">
        <v>78</v>
      </c>
      <c r="B593" s="2" t="s">
        <v>189</v>
      </c>
      <c r="C593" s="3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12"/>
    </row>
    <row r="594" spans="1:20" ht="12.75">
      <c r="A594" s="7"/>
      <c r="B594" s="31" t="s">
        <v>521</v>
      </c>
      <c r="C594" s="33">
        <v>1</v>
      </c>
      <c r="D594" s="7">
        <v>7</v>
      </c>
      <c r="E594" s="7">
        <v>1312</v>
      </c>
      <c r="F594" s="7">
        <f>E594*C594</f>
        <v>1312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4">
        <f>E594*C594+SUM(G594:O594)</f>
        <v>1312</v>
      </c>
      <c r="R594" s="7"/>
      <c r="S594" s="4">
        <f>Q594*$R$17</f>
        <v>15744</v>
      </c>
      <c r="T594" s="12"/>
    </row>
    <row r="595" spans="1:20" ht="36" customHeight="1">
      <c r="A595" s="7"/>
      <c r="B595" s="31" t="s">
        <v>520</v>
      </c>
      <c r="C595" s="3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4"/>
      <c r="R595" s="7"/>
      <c r="S595" s="4"/>
      <c r="T595" s="12"/>
    </row>
    <row r="596" spans="1:20" ht="12.75">
      <c r="A596" s="7"/>
      <c r="B596" s="121" t="s">
        <v>214</v>
      </c>
      <c r="C596" s="33">
        <v>1</v>
      </c>
      <c r="D596" s="7">
        <v>2</v>
      </c>
      <c r="E596" s="7">
        <v>1223</v>
      </c>
      <c r="F596" s="7">
        <f>E596*C596</f>
        <v>1223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4">
        <f>E596*C596+SUM(G596:O596)</f>
        <v>1223</v>
      </c>
      <c r="R596" s="7"/>
      <c r="S596" s="4">
        <f>Q596*$R$17</f>
        <v>14676</v>
      </c>
      <c r="T596" s="12"/>
    </row>
    <row r="597" spans="1:20" ht="12.75">
      <c r="A597" s="7"/>
      <c r="B597" s="31" t="s">
        <v>141</v>
      </c>
      <c r="C597" s="33">
        <v>1</v>
      </c>
      <c r="D597" s="7">
        <v>1</v>
      </c>
      <c r="E597" s="7">
        <v>1218</v>
      </c>
      <c r="F597" s="7">
        <f>E597*C597</f>
        <v>1218</v>
      </c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4">
        <f>E597*C597+SUM(G597:O597)</f>
        <v>1218</v>
      </c>
      <c r="R597" s="7"/>
      <c r="S597" s="4">
        <f>Q597*$R$17</f>
        <v>14616</v>
      </c>
      <c r="T597" s="12"/>
    </row>
    <row r="598" spans="1:20" ht="12.75">
      <c r="A598" s="8"/>
      <c r="B598" s="31" t="s">
        <v>142</v>
      </c>
      <c r="C598" s="33">
        <v>1</v>
      </c>
      <c r="D598" s="7">
        <v>1</v>
      </c>
      <c r="E598" s="7">
        <v>1218</v>
      </c>
      <c r="F598" s="7">
        <f>E598*C598</f>
        <v>1218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4">
        <f>E598*C598+SUM(G598:O598)</f>
        <v>1218</v>
      </c>
      <c r="R598" s="7"/>
      <c r="S598" s="4">
        <f>Q598*$R$17</f>
        <v>14616</v>
      </c>
      <c r="T598" s="12"/>
    </row>
    <row r="599" spans="1:20" ht="12.75">
      <c r="A599" s="10"/>
      <c r="B599" s="26" t="s">
        <v>40</v>
      </c>
      <c r="C599" s="67">
        <f>SUM(C594:C598)</f>
        <v>4</v>
      </c>
      <c r="D599" s="10"/>
      <c r="E599" s="10"/>
      <c r="F599" s="10">
        <f>SUM(F594:F598)</f>
        <v>4971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>
        <f>SUM(Q594:Q598)</f>
        <v>4971</v>
      </c>
      <c r="R599" s="10">
        <f>SUM(R594:R598)</f>
        <v>0</v>
      </c>
      <c r="S599" s="10">
        <f>SUM(S594:S598)</f>
        <v>59652</v>
      </c>
      <c r="T599" s="12"/>
    </row>
    <row r="600" spans="1:20" ht="75.75" customHeight="1">
      <c r="A600" s="3" t="s">
        <v>79</v>
      </c>
      <c r="B600" s="49" t="s">
        <v>433</v>
      </c>
      <c r="C600" s="2"/>
      <c r="D600" s="2"/>
      <c r="E600" s="5"/>
      <c r="F600" s="7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5"/>
      <c r="T600" s="12"/>
    </row>
    <row r="601" spans="1:20" ht="12.75" customHeight="1">
      <c r="A601" s="8"/>
      <c r="B601" s="27" t="s">
        <v>223</v>
      </c>
      <c r="C601" s="8">
        <v>1</v>
      </c>
      <c r="D601" s="8">
        <v>7</v>
      </c>
      <c r="E601" s="9">
        <v>1312</v>
      </c>
      <c r="F601" s="71">
        <f>E601*C601</f>
        <v>1312</v>
      </c>
      <c r="G601" s="8"/>
      <c r="H601" s="8"/>
      <c r="I601" s="8"/>
      <c r="J601" s="8"/>
      <c r="K601" s="8"/>
      <c r="L601" s="8"/>
      <c r="M601" s="8"/>
      <c r="N601" s="8"/>
      <c r="O601" s="8"/>
      <c r="P601" s="7"/>
      <c r="Q601" s="4">
        <f>E601*C601+SUM(G601:O601)</f>
        <v>1312</v>
      </c>
      <c r="R601" s="7"/>
      <c r="S601" s="4">
        <f>Q601*$R$17</f>
        <v>15744</v>
      </c>
      <c r="T601" s="12"/>
    </row>
    <row r="602" spans="1:20" ht="12.75" customHeight="1">
      <c r="A602" s="10"/>
      <c r="B602" s="26" t="s">
        <v>40</v>
      </c>
      <c r="C602" s="10">
        <f>SUM(C601:C601)</f>
        <v>1</v>
      </c>
      <c r="D602" s="10"/>
      <c r="E602" s="11"/>
      <c r="F602" s="72">
        <f>SUM(F601:F601)</f>
        <v>1312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1">
        <f>SUM(Q601:Q601)</f>
        <v>1312</v>
      </c>
      <c r="R602" s="11">
        <f>SUM(R601:R601)</f>
        <v>0</v>
      </c>
      <c r="S602" s="11">
        <f>SUM(S601:S601)</f>
        <v>15744</v>
      </c>
      <c r="T602" s="12"/>
    </row>
    <row r="603" spans="1:20" ht="12.75" customHeight="1">
      <c r="A603" s="3" t="s">
        <v>81</v>
      </c>
      <c r="B603" s="2" t="s">
        <v>131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12"/>
    </row>
    <row r="604" spans="1:20" ht="12.75" customHeight="1">
      <c r="A604" s="7"/>
      <c r="B604" s="31" t="s">
        <v>287</v>
      </c>
      <c r="C604" s="7">
        <v>0.5</v>
      </c>
      <c r="D604" s="7">
        <v>4</v>
      </c>
      <c r="E604" s="7">
        <v>1243</v>
      </c>
      <c r="F604" s="44">
        <f>E604*C604</f>
        <v>621.5</v>
      </c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4">
        <f>E604*C604+SUM(G604:O604)</f>
        <v>621.5</v>
      </c>
      <c r="R604" s="7"/>
      <c r="S604" s="4">
        <f>Q604*$R$17</f>
        <v>7458</v>
      </c>
      <c r="T604" s="12"/>
    </row>
    <row r="605" spans="1:20" ht="12.75" customHeight="1">
      <c r="A605" s="7"/>
      <c r="B605" s="31" t="s">
        <v>288</v>
      </c>
      <c r="C605" s="7">
        <v>2.5</v>
      </c>
      <c r="D605" s="7">
        <v>1</v>
      </c>
      <c r="E605" s="7">
        <v>1218</v>
      </c>
      <c r="F605" s="7">
        <f>E605*C605</f>
        <v>3045</v>
      </c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4">
        <f>E605*C605+SUM(G605:O605)</f>
        <v>3045</v>
      </c>
      <c r="R605" s="7"/>
      <c r="S605" s="4">
        <f>Q605*$R$17</f>
        <v>36540</v>
      </c>
      <c r="T605" s="12"/>
    </row>
    <row r="606" spans="1:20" ht="12.75" customHeight="1">
      <c r="A606" s="7"/>
      <c r="B606" s="31" t="s">
        <v>144</v>
      </c>
      <c r="C606" s="7">
        <v>0.5</v>
      </c>
      <c r="D606" s="7">
        <v>6</v>
      </c>
      <c r="E606" s="7">
        <v>1263</v>
      </c>
      <c r="F606" s="4">
        <f>E606*C606</f>
        <v>631.5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4">
        <f>E606*C606+SUM(G606:O606)</f>
        <v>631.5</v>
      </c>
      <c r="R606" s="7"/>
      <c r="S606" s="4">
        <f>Q606*$R$17</f>
        <v>7578</v>
      </c>
      <c r="T606" s="12"/>
    </row>
    <row r="607" spans="1:20" ht="12.75" customHeight="1">
      <c r="A607" s="7"/>
      <c r="B607" s="41" t="s">
        <v>145</v>
      </c>
      <c r="C607" s="42">
        <v>9</v>
      </c>
      <c r="D607" s="42">
        <v>2</v>
      </c>
      <c r="E607" s="42">
        <v>1223</v>
      </c>
      <c r="F607" s="7">
        <f>E607*C607</f>
        <v>11007</v>
      </c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4">
        <f>E607*C607+SUM(G607:O607)</f>
        <v>11007</v>
      </c>
      <c r="R607" s="42"/>
      <c r="S607" s="43">
        <f>Q607*$R$17</f>
        <v>132084</v>
      </c>
      <c r="T607" s="12"/>
    </row>
    <row r="608" spans="1:20" ht="38.25" customHeight="1">
      <c r="A608" s="7"/>
      <c r="B608" s="31" t="s">
        <v>522</v>
      </c>
      <c r="C608" s="31"/>
      <c r="D608" s="45"/>
      <c r="E608" s="45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4"/>
      <c r="R608" s="42"/>
      <c r="S608" s="43"/>
      <c r="T608" s="12"/>
    </row>
    <row r="609" spans="1:20" ht="12.75" customHeight="1">
      <c r="A609" s="7"/>
      <c r="B609" s="31" t="s">
        <v>212</v>
      </c>
      <c r="C609" s="7">
        <v>1</v>
      </c>
      <c r="D609" s="7">
        <v>2</v>
      </c>
      <c r="E609" s="7">
        <v>1223</v>
      </c>
      <c r="F609" s="7">
        <f aca="true" t="shared" si="66" ref="F609:F615">E609*C609</f>
        <v>1223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4">
        <f aca="true" t="shared" si="67" ref="Q609:Q615">E609*C609+SUM(G609:O609)</f>
        <v>1223</v>
      </c>
      <c r="R609" s="7"/>
      <c r="S609" s="4">
        <f aca="true" t="shared" si="68" ref="S609:S615">Q609*$R$17</f>
        <v>14676</v>
      </c>
      <c r="T609" s="12"/>
    </row>
    <row r="610" spans="1:20" ht="12.75" customHeight="1">
      <c r="A610" s="7"/>
      <c r="B610" s="121" t="s">
        <v>216</v>
      </c>
      <c r="C610" s="42">
        <v>1</v>
      </c>
      <c r="D610" s="42">
        <v>2</v>
      </c>
      <c r="E610" s="7">
        <v>1223</v>
      </c>
      <c r="F610" s="7">
        <f t="shared" si="66"/>
        <v>1223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4">
        <f t="shared" si="67"/>
        <v>1223</v>
      </c>
      <c r="R610" s="42"/>
      <c r="S610" s="4">
        <f t="shared" si="68"/>
        <v>14676</v>
      </c>
      <c r="T610" s="12"/>
    </row>
    <row r="611" spans="1:20" ht="12.75" customHeight="1">
      <c r="A611" s="7"/>
      <c r="B611" s="31" t="s">
        <v>289</v>
      </c>
      <c r="C611" s="7">
        <v>15</v>
      </c>
      <c r="D611" s="7">
        <v>1</v>
      </c>
      <c r="E611" s="7">
        <v>1218</v>
      </c>
      <c r="F611" s="7">
        <f t="shared" si="66"/>
        <v>18270</v>
      </c>
      <c r="G611" s="7"/>
      <c r="H611" s="7"/>
      <c r="I611" s="7"/>
      <c r="J611" s="7"/>
      <c r="K611" s="7"/>
      <c r="L611" s="7"/>
      <c r="M611" s="7"/>
      <c r="N611" s="7"/>
      <c r="O611" s="7">
        <f>F611*0.1</f>
        <v>1827</v>
      </c>
      <c r="P611" s="4">
        <f>SUM(G611:O611)</f>
        <v>1827</v>
      </c>
      <c r="Q611" s="4">
        <f t="shared" si="67"/>
        <v>20097</v>
      </c>
      <c r="R611" s="7"/>
      <c r="S611" s="4">
        <f t="shared" si="68"/>
        <v>241164</v>
      </c>
      <c r="T611" s="12"/>
    </row>
    <row r="612" spans="1:20" ht="12.75" customHeight="1">
      <c r="A612" s="7"/>
      <c r="B612" s="31" t="s">
        <v>290</v>
      </c>
      <c r="C612" s="7">
        <v>2</v>
      </c>
      <c r="D612" s="7">
        <v>1</v>
      </c>
      <c r="E612" s="7">
        <v>1218</v>
      </c>
      <c r="F612" s="7">
        <f t="shared" si="66"/>
        <v>2436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4">
        <f t="shared" si="67"/>
        <v>2436</v>
      </c>
      <c r="R612" s="7"/>
      <c r="S612" s="4">
        <f t="shared" si="68"/>
        <v>29232</v>
      </c>
      <c r="T612" s="12"/>
    </row>
    <row r="613" spans="1:20" ht="12.75" customHeight="1">
      <c r="A613" s="7"/>
      <c r="B613" s="31" t="s">
        <v>291</v>
      </c>
      <c r="C613" s="7">
        <v>1</v>
      </c>
      <c r="D613" s="7">
        <v>1</v>
      </c>
      <c r="E613" s="7">
        <v>1218</v>
      </c>
      <c r="F613" s="7">
        <f t="shared" si="66"/>
        <v>1218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4">
        <f t="shared" si="67"/>
        <v>1218</v>
      </c>
      <c r="R613" s="7"/>
      <c r="S613" s="4">
        <f t="shared" si="68"/>
        <v>14616</v>
      </c>
      <c r="T613" s="12"/>
    </row>
    <row r="614" spans="1:20" ht="12.75" customHeight="1">
      <c r="A614" s="7"/>
      <c r="B614" s="31" t="s">
        <v>261</v>
      </c>
      <c r="C614" s="7">
        <v>4.5</v>
      </c>
      <c r="D614" s="7">
        <v>1</v>
      </c>
      <c r="E614" s="7">
        <v>1218</v>
      </c>
      <c r="F614" s="7">
        <f t="shared" si="66"/>
        <v>5481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4">
        <f t="shared" si="67"/>
        <v>5481</v>
      </c>
      <c r="R614" s="7"/>
      <c r="S614" s="4">
        <f t="shared" si="68"/>
        <v>65772</v>
      </c>
      <c r="T614" s="12"/>
    </row>
    <row r="615" spans="1:20" ht="12.75" customHeight="1">
      <c r="A615" s="7"/>
      <c r="B615" s="27" t="s">
        <v>292</v>
      </c>
      <c r="C615" s="8">
        <f>14-1.5</f>
        <v>12.5</v>
      </c>
      <c r="D615" s="7">
        <v>1</v>
      </c>
      <c r="E615" s="7">
        <v>1218</v>
      </c>
      <c r="F615" s="7">
        <f t="shared" si="66"/>
        <v>15225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4">
        <f t="shared" si="67"/>
        <v>15225</v>
      </c>
      <c r="R615" s="7"/>
      <c r="S615" s="4">
        <f t="shared" si="68"/>
        <v>182700</v>
      </c>
      <c r="T615" s="12"/>
    </row>
    <row r="616" spans="1:20" ht="12.75" customHeight="1">
      <c r="A616" s="10"/>
      <c r="B616" s="26" t="s">
        <v>40</v>
      </c>
      <c r="C616" s="10">
        <f>SUM(C604:C615)</f>
        <v>49.5</v>
      </c>
      <c r="D616" s="10"/>
      <c r="E616" s="10"/>
      <c r="F616" s="10">
        <f>SUM(F604:F615)</f>
        <v>60381</v>
      </c>
      <c r="G616" s="10"/>
      <c r="H616" s="10"/>
      <c r="I616" s="10"/>
      <c r="J616" s="10"/>
      <c r="K616" s="10"/>
      <c r="L616" s="10"/>
      <c r="M616" s="10"/>
      <c r="N616" s="10"/>
      <c r="O616" s="10">
        <f>SUM(O604:O615)</f>
        <v>1827</v>
      </c>
      <c r="P616" s="10">
        <f>SUM(P604:P615)</f>
        <v>1827</v>
      </c>
      <c r="Q616" s="10">
        <f>SUM(Q604:Q615)</f>
        <v>62208</v>
      </c>
      <c r="R616" s="10">
        <f>SUM(R604:R615)</f>
        <v>0</v>
      </c>
      <c r="S616" s="10">
        <f>SUM(S604:S615)</f>
        <v>746496</v>
      </c>
      <c r="T616" s="12"/>
    </row>
    <row r="617" spans="1:20" ht="12.75" customHeight="1">
      <c r="A617" s="3" t="s">
        <v>82</v>
      </c>
      <c r="B617" s="2" t="s">
        <v>157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12"/>
    </row>
    <row r="618" spans="1:20" ht="36" customHeight="1">
      <c r="A618" s="7"/>
      <c r="B618" s="31" t="s">
        <v>434</v>
      </c>
      <c r="C618" s="31"/>
      <c r="D618" s="3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12"/>
    </row>
    <row r="619" spans="1:20" ht="12.75" customHeight="1">
      <c r="A619" s="7"/>
      <c r="B619" s="121" t="s">
        <v>215</v>
      </c>
      <c r="C619" s="7">
        <v>1</v>
      </c>
      <c r="D619" s="7">
        <v>2</v>
      </c>
      <c r="E619" s="7">
        <v>1223</v>
      </c>
      <c r="F619" s="7">
        <f>E619*C619</f>
        <v>1223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4">
        <f>E619*C619+SUM(G619:O619)</f>
        <v>1223</v>
      </c>
      <c r="R619" s="7"/>
      <c r="S619" s="4">
        <f>Q619*$R$17</f>
        <v>14676</v>
      </c>
      <c r="T619" s="12"/>
    </row>
    <row r="620" spans="1:20" ht="12.75" customHeight="1">
      <c r="A620" s="7"/>
      <c r="B620" s="31" t="s">
        <v>140</v>
      </c>
      <c r="C620" s="7">
        <v>2</v>
      </c>
      <c r="D620" s="7">
        <v>1</v>
      </c>
      <c r="E620" s="7">
        <v>1218</v>
      </c>
      <c r="F620" s="7">
        <f>E620*C620</f>
        <v>2436</v>
      </c>
      <c r="G620" s="7"/>
      <c r="H620" s="7"/>
      <c r="I620" s="7"/>
      <c r="J620" s="7"/>
      <c r="K620" s="7"/>
      <c r="L620" s="7"/>
      <c r="M620" s="7"/>
      <c r="N620" s="7"/>
      <c r="O620" s="7">
        <f>E620*C620*0.1</f>
        <v>243.60000000000002</v>
      </c>
      <c r="P620" s="4">
        <f>SUM(G620:O620)</f>
        <v>243.60000000000002</v>
      </c>
      <c r="Q620" s="4">
        <f>E620*C620+SUM(G620:O620)</f>
        <v>2679.6</v>
      </c>
      <c r="R620" s="7"/>
      <c r="S620" s="4">
        <f>Q620*$R$17</f>
        <v>32155.199999999997</v>
      </c>
      <c r="T620" s="12"/>
    </row>
    <row r="621" spans="1:20" ht="12.75" customHeight="1">
      <c r="A621" s="10"/>
      <c r="B621" s="26" t="s">
        <v>40</v>
      </c>
      <c r="C621" s="10">
        <f>SUM(C619:C620)</f>
        <v>3</v>
      </c>
      <c r="D621" s="10"/>
      <c r="E621" s="10"/>
      <c r="F621" s="10">
        <f>SUM(F619:F620)</f>
        <v>3659</v>
      </c>
      <c r="G621" s="10"/>
      <c r="H621" s="10"/>
      <c r="I621" s="10"/>
      <c r="J621" s="10"/>
      <c r="K621" s="10"/>
      <c r="L621" s="10"/>
      <c r="M621" s="10"/>
      <c r="N621" s="10"/>
      <c r="O621" s="10">
        <f>SUM(O619:O620)</f>
        <v>243.60000000000002</v>
      </c>
      <c r="P621" s="10">
        <f>SUM(P619:P620)</f>
        <v>243.60000000000002</v>
      </c>
      <c r="Q621" s="10">
        <f>SUM(Q619:Q620)</f>
        <v>3902.6</v>
      </c>
      <c r="R621" s="10">
        <f>SUM(R619:R620)</f>
        <v>0</v>
      </c>
      <c r="S621" s="10">
        <f>SUM(S619:S620)</f>
        <v>46831.2</v>
      </c>
      <c r="T621" s="12"/>
    </row>
    <row r="622" spans="1:20" ht="12.75" customHeight="1">
      <c r="A622" s="3" t="s">
        <v>84</v>
      </c>
      <c r="B622" s="2" t="s">
        <v>146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12"/>
    </row>
    <row r="623" spans="1:20" ht="12.75" customHeight="1">
      <c r="A623" s="7"/>
      <c r="B623" s="31" t="s">
        <v>109</v>
      </c>
      <c r="C623" s="7">
        <v>1</v>
      </c>
      <c r="D623" s="7">
        <v>5</v>
      </c>
      <c r="E623" s="7">
        <v>1253</v>
      </c>
      <c r="F623" s="7">
        <f aca="true" t="shared" si="69" ref="F623:F635">E623*C623</f>
        <v>1253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4">
        <f aca="true" t="shared" si="70" ref="Q623:Q635">E623*C623+SUM(G623:O623)</f>
        <v>1253</v>
      </c>
      <c r="R623" s="7"/>
      <c r="S623" s="4">
        <f aca="true" t="shared" si="71" ref="S623:S635">Q623*$R$17</f>
        <v>15036</v>
      </c>
      <c r="T623" s="12"/>
    </row>
    <row r="624" spans="1:20" ht="12.75" customHeight="1">
      <c r="A624" s="7"/>
      <c r="B624" s="31" t="s">
        <v>147</v>
      </c>
      <c r="C624" s="7">
        <v>1</v>
      </c>
      <c r="D624" s="7">
        <v>1</v>
      </c>
      <c r="E624" s="7">
        <v>1218</v>
      </c>
      <c r="F624" s="7">
        <f t="shared" si="69"/>
        <v>1218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4">
        <f t="shared" si="70"/>
        <v>1218</v>
      </c>
      <c r="R624" s="7"/>
      <c r="S624" s="4">
        <f t="shared" si="71"/>
        <v>14616</v>
      </c>
      <c r="T624" s="12"/>
    </row>
    <row r="625" spans="1:20" ht="12.75" customHeight="1">
      <c r="A625" s="7"/>
      <c r="B625" s="31" t="s">
        <v>141</v>
      </c>
      <c r="C625" s="7">
        <v>0.5</v>
      </c>
      <c r="D625" s="7">
        <v>1</v>
      </c>
      <c r="E625" s="7">
        <v>1218</v>
      </c>
      <c r="F625" s="44">
        <f t="shared" si="69"/>
        <v>609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44">
        <f t="shared" si="70"/>
        <v>609</v>
      </c>
      <c r="R625" s="44"/>
      <c r="S625" s="44">
        <f t="shared" si="71"/>
        <v>7308</v>
      </c>
      <c r="T625" s="12"/>
    </row>
    <row r="626" spans="1:20" ht="12.75" customHeight="1">
      <c r="A626" s="7"/>
      <c r="B626" s="31" t="s">
        <v>148</v>
      </c>
      <c r="C626" s="7">
        <v>0.5</v>
      </c>
      <c r="D626" s="7">
        <v>3</v>
      </c>
      <c r="E626" s="7">
        <v>1233</v>
      </c>
      <c r="F626" s="7">
        <f t="shared" si="69"/>
        <v>616.5</v>
      </c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44">
        <f t="shared" si="70"/>
        <v>616.5</v>
      </c>
      <c r="R626" s="44"/>
      <c r="S626" s="44">
        <f t="shared" si="71"/>
        <v>7398</v>
      </c>
      <c r="T626" s="12"/>
    </row>
    <row r="627" spans="1:20" ht="12.75" customHeight="1">
      <c r="A627" s="7"/>
      <c r="B627" s="55" t="s">
        <v>437</v>
      </c>
      <c r="C627" s="7">
        <v>1</v>
      </c>
      <c r="D627" s="7">
        <v>2</v>
      </c>
      <c r="E627" s="7">
        <v>1223</v>
      </c>
      <c r="F627" s="7">
        <f t="shared" si="69"/>
        <v>1223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4">
        <f t="shared" si="70"/>
        <v>1223</v>
      </c>
      <c r="R627" s="7"/>
      <c r="S627" s="4">
        <f t="shared" si="71"/>
        <v>14676</v>
      </c>
      <c r="T627" s="12"/>
    </row>
    <row r="628" spans="1:20" ht="22.5" customHeight="1">
      <c r="A628" s="7"/>
      <c r="B628" s="55" t="s">
        <v>149</v>
      </c>
      <c r="C628" s="7">
        <v>1</v>
      </c>
      <c r="D628" s="7">
        <v>3</v>
      </c>
      <c r="E628" s="7">
        <v>1233</v>
      </c>
      <c r="F628" s="7">
        <f t="shared" si="69"/>
        <v>1233</v>
      </c>
      <c r="G628" s="7"/>
      <c r="H628" s="7"/>
      <c r="I628" s="7"/>
      <c r="J628" s="7"/>
      <c r="K628" s="7"/>
      <c r="L628" s="7"/>
      <c r="M628" s="7"/>
      <c r="N628" s="7"/>
      <c r="O628" s="4">
        <f>E628*C628*0.1</f>
        <v>123.30000000000001</v>
      </c>
      <c r="P628" s="4">
        <f>SUM(G628:O628)</f>
        <v>123.30000000000001</v>
      </c>
      <c r="Q628" s="4">
        <f t="shared" si="70"/>
        <v>1356.3</v>
      </c>
      <c r="R628" s="7"/>
      <c r="S628" s="4">
        <f t="shared" si="71"/>
        <v>16275.599999999999</v>
      </c>
      <c r="T628" s="12"/>
    </row>
    <row r="629" spans="1:20" ht="12" customHeight="1">
      <c r="A629" s="7"/>
      <c r="B629" s="31" t="s">
        <v>275</v>
      </c>
      <c r="C629" s="7">
        <v>1</v>
      </c>
      <c r="D629" s="7">
        <v>4</v>
      </c>
      <c r="E629" s="7">
        <v>1243</v>
      </c>
      <c r="F629" s="7">
        <f t="shared" si="69"/>
        <v>1243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4">
        <f t="shared" si="70"/>
        <v>1243</v>
      </c>
      <c r="R629" s="7"/>
      <c r="S629" s="4">
        <f t="shared" si="71"/>
        <v>14916</v>
      </c>
      <c r="T629" s="12"/>
    </row>
    <row r="630" spans="1:20" ht="21.75" customHeight="1">
      <c r="A630" s="7"/>
      <c r="B630" s="31" t="s">
        <v>276</v>
      </c>
      <c r="C630" s="7">
        <v>1</v>
      </c>
      <c r="D630" s="7">
        <v>3</v>
      </c>
      <c r="E630" s="7">
        <v>1233</v>
      </c>
      <c r="F630" s="7">
        <f t="shared" si="69"/>
        <v>1233</v>
      </c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4">
        <f t="shared" si="70"/>
        <v>1233</v>
      </c>
      <c r="R630" s="7"/>
      <c r="S630" s="4">
        <f t="shared" si="71"/>
        <v>14796</v>
      </c>
      <c r="T630" s="12"/>
    </row>
    <row r="631" spans="1:20" ht="21.75" customHeight="1">
      <c r="A631" s="7"/>
      <c r="B631" s="31" t="s">
        <v>414</v>
      </c>
      <c r="C631" s="7">
        <v>1</v>
      </c>
      <c r="D631" s="7">
        <v>3</v>
      </c>
      <c r="E631" s="7">
        <v>1233</v>
      </c>
      <c r="F631" s="7">
        <f t="shared" si="69"/>
        <v>1233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4">
        <f t="shared" si="70"/>
        <v>1233</v>
      </c>
      <c r="R631" s="7"/>
      <c r="S631" s="4">
        <f t="shared" si="71"/>
        <v>14796</v>
      </c>
      <c r="T631" s="12"/>
    </row>
    <row r="632" spans="1:20" ht="21.75" customHeight="1">
      <c r="A632" s="7"/>
      <c r="B632" s="31" t="s">
        <v>277</v>
      </c>
      <c r="C632" s="7">
        <v>1</v>
      </c>
      <c r="D632" s="7">
        <v>3</v>
      </c>
      <c r="E632" s="7">
        <v>1233</v>
      </c>
      <c r="F632" s="7">
        <f t="shared" si="69"/>
        <v>1233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4">
        <f t="shared" si="70"/>
        <v>1233</v>
      </c>
      <c r="R632" s="7"/>
      <c r="S632" s="4">
        <f t="shared" si="71"/>
        <v>14796</v>
      </c>
      <c r="T632" s="12"/>
    </row>
    <row r="633" spans="1:20" ht="21.75" customHeight="1">
      <c r="A633" s="7"/>
      <c r="B633" s="31" t="s">
        <v>278</v>
      </c>
      <c r="C633" s="7">
        <v>1</v>
      </c>
      <c r="D633" s="7">
        <v>3</v>
      </c>
      <c r="E633" s="7">
        <v>1233</v>
      </c>
      <c r="F633" s="7">
        <f t="shared" si="69"/>
        <v>1233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4">
        <f t="shared" si="70"/>
        <v>1233</v>
      </c>
      <c r="R633" s="7"/>
      <c r="S633" s="4">
        <f t="shared" si="71"/>
        <v>14796</v>
      </c>
      <c r="T633" s="12"/>
    </row>
    <row r="634" spans="1:20" ht="21.75" customHeight="1">
      <c r="A634" s="7"/>
      <c r="B634" s="31" t="s">
        <v>279</v>
      </c>
      <c r="C634" s="7">
        <v>1</v>
      </c>
      <c r="D634" s="7">
        <v>2</v>
      </c>
      <c r="E634" s="7">
        <v>1223</v>
      </c>
      <c r="F634" s="7">
        <f t="shared" si="69"/>
        <v>1223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4">
        <f t="shared" si="70"/>
        <v>1223</v>
      </c>
      <c r="R634" s="7"/>
      <c r="S634" s="4">
        <f t="shared" si="71"/>
        <v>14676</v>
      </c>
      <c r="T634" s="12"/>
    </row>
    <row r="635" spans="1:20" ht="21.75" customHeight="1">
      <c r="A635" s="8"/>
      <c r="B635" s="31" t="s">
        <v>280</v>
      </c>
      <c r="C635" s="7">
        <v>1</v>
      </c>
      <c r="D635" s="7">
        <v>3</v>
      </c>
      <c r="E635" s="7">
        <v>1233</v>
      </c>
      <c r="F635" s="7">
        <f t="shared" si="69"/>
        <v>1233</v>
      </c>
      <c r="G635" s="8"/>
      <c r="H635" s="8"/>
      <c r="I635" s="8"/>
      <c r="J635" s="8"/>
      <c r="K635" s="8"/>
      <c r="L635" s="8"/>
      <c r="M635" s="8"/>
      <c r="N635" s="8"/>
      <c r="O635" s="8"/>
      <c r="P635" s="7"/>
      <c r="Q635" s="4">
        <f t="shared" si="70"/>
        <v>1233</v>
      </c>
      <c r="R635" s="7"/>
      <c r="S635" s="4">
        <f t="shared" si="71"/>
        <v>14796</v>
      </c>
      <c r="T635" s="12"/>
    </row>
    <row r="636" spans="1:20" ht="12" customHeight="1">
      <c r="A636" s="10"/>
      <c r="B636" s="26" t="s">
        <v>40</v>
      </c>
      <c r="C636" s="10">
        <f>SUM(C623:C635)</f>
        <v>12</v>
      </c>
      <c r="D636" s="10"/>
      <c r="E636" s="10"/>
      <c r="F636" s="10">
        <f>SUM(F623:F635)</f>
        <v>14783.5</v>
      </c>
      <c r="G636" s="10"/>
      <c r="H636" s="10"/>
      <c r="I636" s="10"/>
      <c r="J636" s="10"/>
      <c r="K636" s="10"/>
      <c r="L636" s="10"/>
      <c r="M636" s="10"/>
      <c r="N636" s="10"/>
      <c r="O636" s="11">
        <f>SUM(O623:O635)</f>
        <v>123.30000000000001</v>
      </c>
      <c r="P636" s="11">
        <f>SUM(P623:P635)</f>
        <v>123.30000000000001</v>
      </c>
      <c r="Q636" s="11">
        <f>SUM(Q623:Q635)</f>
        <v>14906.8</v>
      </c>
      <c r="R636" s="11">
        <f>SUM(R623:R634)</f>
        <v>0</v>
      </c>
      <c r="S636" s="11">
        <f>SUM(S623:S635)</f>
        <v>178881.6</v>
      </c>
      <c r="T636" s="12"/>
    </row>
    <row r="637" spans="1:20" ht="12.75" customHeight="1">
      <c r="A637" s="3" t="s">
        <v>85</v>
      </c>
      <c r="B637" s="2" t="s">
        <v>158</v>
      </c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12"/>
    </row>
    <row r="638" spans="1:20" ht="12.75" customHeight="1">
      <c r="A638" s="8"/>
      <c r="B638" s="27" t="s">
        <v>159</v>
      </c>
      <c r="C638" s="8">
        <v>0.5</v>
      </c>
      <c r="D638" s="8">
        <v>2</v>
      </c>
      <c r="E638" s="8">
        <v>1223</v>
      </c>
      <c r="F638" s="7">
        <f>E638*C638</f>
        <v>611.5</v>
      </c>
      <c r="G638" s="8"/>
      <c r="H638" s="8"/>
      <c r="I638" s="8"/>
      <c r="J638" s="8"/>
      <c r="K638" s="8"/>
      <c r="L638" s="8"/>
      <c r="M638" s="8"/>
      <c r="N638" s="8"/>
      <c r="O638" s="8"/>
      <c r="P638" s="7"/>
      <c r="Q638" s="4">
        <f>E638*C638+SUM(G638:O638)</f>
        <v>611.5</v>
      </c>
      <c r="R638" s="7"/>
      <c r="S638" s="4">
        <f>Q638*$R$17</f>
        <v>7338</v>
      </c>
      <c r="T638" s="12"/>
    </row>
    <row r="639" spans="1:20" ht="12.75" customHeight="1">
      <c r="A639" s="10"/>
      <c r="B639" s="26" t="s">
        <v>40</v>
      </c>
      <c r="C639" s="10">
        <f>SUM(C638)</f>
        <v>0.5</v>
      </c>
      <c r="D639" s="10"/>
      <c r="E639" s="10"/>
      <c r="F639" s="10">
        <f>SUM(F638)</f>
        <v>611.5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>
        <f>SUM(Q638)</f>
        <v>611.5</v>
      </c>
      <c r="R639" s="10">
        <f>SUM(R638)</f>
        <v>0</v>
      </c>
      <c r="S639" s="10">
        <f>SUM(S638)</f>
        <v>7338</v>
      </c>
      <c r="T639" s="12"/>
    </row>
    <row r="640" spans="1:20" ht="12.75" customHeight="1">
      <c r="A640" s="3" t="s">
        <v>87</v>
      </c>
      <c r="B640" s="2" t="s">
        <v>220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12"/>
    </row>
    <row r="641" spans="1:20" ht="12.75" customHeight="1">
      <c r="A641" s="7"/>
      <c r="B641" s="31" t="s">
        <v>416</v>
      </c>
      <c r="C641" s="7">
        <v>0.5</v>
      </c>
      <c r="D641" s="7">
        <v>2</v>
      </c>
      <c r="E641" s="7">
        <v>1223</v>
      </c>
      <c r="F641" s="7">
        <f>E641*C641</f>
        <v>611.5</v>
      </c>
      <c r="G641" s="7"/>
      <c r="H641" s="7"/>
      <c r="I641" s="7"/>
      <c r="J641" s="7"/>
      <c r="K641" s="7"/>
      <c r="L641" s="7"/>
      <c r="M641" s="7"/>
      <c r="N641" s="4">
        <f>F641*0.0772</f>
        <v>47.207800000000006</v>
      </c>
      <c r="O641" s="7"/>
      <c r="P641" s="4">
        <f>SUM(G641:O641)</f>
        <v>47.207800000000006</v>
      </c>
      <c r="Q641" s="4">
        <f>E641*C641+SUM(G641:O641)</f>
        <v>658.7078</v>
      </c>
      <c r="R641" s="7"/>
      <c r="S641" s="4">
        <f>Q641*$R$17</f>
        <v>7904.4936</v>
      </c>
      <c r="T641" s="12"/>
    </row>
    <row r="642" spans="1:20" ht="12.75" customHeight="1">
      <c r="A642" s="8"/>
      <c r="B642" s="27" t="s">
        <v>415</v>
      </c>
      <c r="C642" s="7">
        <v>4</v>
      </c>
      <c r="D642" s="7">
        <v>1</v>
      </c>
      <c r="E642" s="7">
        <v>1218</v>
      </c>
      <c r="F642" s="7">
        <f>E642*C642</f>
        <v>4872</v>
      </c>
      <c r="G642" s="8"/>
      <c r="H642" s="8"/>
      <c r="I642" s="8"/>
      <c r="J642" s="8"/>
      <c r="K642" s="8"/>
      <c r="L642" s="8"/>
      <c r="M642" s="8"/>
      <c r="N642" s="7">
        <f>F642*0.0772</f>
        <v>376.1184</v>
      </c>
      <c r="O642" s="8"/>
      <c r="P642" s="4">
        <f>SUM(G642:O642)</f>
        <v>376.1184</v>
      </c>
      <c r="Q642" s="4">
        <f>E642*C642+SUM(G642:O642)</f>
        <v>5248.1184</v>
      </c>
      <c r="R642" s="7"/>
      <c r="S642" s="4">
        <f>Q642*$R$17</f>
        <v>62977.42080000001</v>
      </c>
      <c r="T642" s="12"/>
    </row>
    <row r="643" spans="1:20" ht="12.75" customHeight="1">
      <c r="A643" s="10"/>
      <c r="B643" s="26" t="s">
        <v>40</v>
      </c>
      <c r="C643" s="10">
        <f>SUM(C641:C642)</f>
        <v>4.5</v>
      </c>
      <c r="D643" s="10"/>
      <c r="E643" s="10"/>
      <c r="F643" s="10">
        <f>SUM(F641:F642)</f>
        <v>5483.5</v>
      </c>
      <c r="G643" s="10"/>
      <c r="H643" s="10"/>
      <c r="I643" s="10"/>
      <c r="J643" s="10"/>
      <c r="K643" s="10"/>
      <c r="L643" s="10"/>
      <c r="M643" s="11"/>
      <c r="N643" s="11">
        <f>SUM(N641:N642)</f>
        <v>423.32620000000003</v>
      </c>
      <c r="O643" s="11"/>
      <c r="P643" s="11">
        <f>SUM(P641:P642)</f>
        <v>423.32620000000003</v>
      </c>
      <c r="Q643" s="11">
        <f>SUM(Q641:Q642)</f>
        <v>5906.8262</v>
      </c>
      <c r="R643" s="11">
        <f>SUM(R641:R642)</f>
        <v>0</v>
      </c>
      <c r="S643" s="11">
        <f>SUM(S641:S642)</f>
        <v>70881.91440000001</v>
      </c>
      <c r="T643" s="12"/>
    </row>
    <row r="644" spans="1:20" ht="12" customHeight="1">
      <c r="A644" s="3" t="s">
        <v>88</v>
      </c>
      <c r="B644" s="2" t="s">
        <v>125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5"/>
      <c r="R644" s="3"/>
      <c r="S644" s="5"/>
      <c r="T644" s="12"/>
    </row>
    <row r="645" spans="1:20" ht="12" customHeight="1">
      <c r="A645" s="7"/>
      <c r="B645" s="31" t="s">
        <v>143</v>
      </c>
      <c r="C645" s="7">
        <f>2+16</f>
        <v>18</v>
      </c>
      <c r="D645" s="7">
        <v>1</v>
      </c>
      <c r="E645" s="7">
        <v>1218</v>
      </c>
      <c r="F645" s="7">
        <f>E645*C645</f>
        <v>21924</v>
      </c>
      <c r="G645" s="7"/>
      <c r="H645" s="7"/>
      <c r="I645" s="7"/>
      <c r="J645" s="7"/>
      <c r="K645" s="7"/>
      <c r="L645" s="7"/>
      <c r="M645" s="7"/>
      <c r="N645" s="7"/>
      <c r="O645" s="7"/>
      <c r="P645" s="4"/>
      <c r="Q645" s="4">
        <f>E645*C645+SUM(G645:O645)</f>
        <v>21924</v>
      </c>
      <c r="R645" s="7"/>
      <c r="S645" s="4">
        <f>Q645*$R$17</f>
        <v>263088</v>
      </c>
      <c r="T645" s="12"/>
    </row>
    <row r="646" spans="1:20" ht="12" customHeight="1">
      <c r="A646" s="8"/>
      <c r="B646" s="31" t="s">
        <v>340</v>
      </c>
      <c r="C646" s="7">
        <v>5</v>
      </c>
      <c r="D646" s="7">
        <v>1</v>
      </c>
      <c r="E646" s="7">
        <v>1218</v>
      </c>
      <c r="F646" s="7">
        <f>E646*C646</f>
        <v>6090</v>
      </c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4">
        <f>E646*C646+SUM(G646:O646)</f>
        <v>6090</v>
      </c>
      <c r="R646" s="7"/>
      <c r="S646" s="4">
        <f>Q646*$R$17</f>
        <v>73080</v>
      </c>
      <c r="T646" s="12"/>
    </row>
    <row r="647" spans="1:20" ht="12" customHeight="1">
      <c r="A647" s="10"/>
      <c r="B647" s="26" t="s">
        <v>40</v>
      </c>
      <c r="C647" s="10">
        <f>SUM(C644:C646)</f>
        <v>23</v>
      </c>
      <c r="D647" s="10"/>
      <c r="E647" s="10"/>
      <c r="F647" s="10">
        <f>SUM(F644:F646)</f>
        <v>28014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>
        <f>SUM(Q644:Q646)</f>
        <v>28014</v>
      </c>
      <c r="R647" s="10">
        <f>SUM(R644:R646)</f>
        <v>0</v>
      </c>
      <c r="S647" s="10">
        <f>SUM(S644:S646)</f>
        <v>336168</v>
      </c>
      <c r="T647" s="12"/>
    </row>
    <row r="648" spans="1:20" ht="22.5" customHeight="1">
      <c r="A648" s="10"/>
      <c r="B648" s="28" t="s">
        <v>196</v>
      </c>
      <c r="C648" s="3"/>
      <c r="D648" s="3"/>
      <c r="E648" s="3"/>
      <c r="F648" s="3"/>
      <c r="G648" s="5">
        <f>50000</f>
        <v>50000</v>
      </c>
      <c r="H648" s="3"/>
      <c r="I648" s="3"/>
      <c r="J648" s="3"/>
      <c r="K648" s="3"/>
      <c r="L648" s="3"/>
      <c r="M648" s="3"/>
      <c r="N648" s="3"/>
      <c r="O648" s="3"/>
      <c r="P648" s="5">
        <f>G648</f>
        <v>50000</v>
      </c>
      <c r="Q648" s="5">
        <f>G648</f>
        <v>50000</v>
      </c>
      <c r="R648" s="4"/>
      <c r="S648" s="4">
        <f>Q648*$R$17</f>
        <v>600000</v>
      </c>
      <c r="T648" s="12"/>
    </row>
    <row r="649" spans="1:20" ht="12" customHeight="1">
      <c r="A649" s="10"/>
      <c r="B649" s="26" t="s">
        <v>199</v>
      </c>
      <c r="C649" s="22">
        <f>C490+C493+C496+C499+C502+C505+C508+C511+C514+C517+C520+C523+C526+C532+C538+C550+C555+C560+C565+C569+C572+C580+C587+C592++C599+C602+C616+C621+C636+C639+C643+C647+C648</f>
        <v>182.5</v>
      </c>
      <c r="D649" s="22"/>
      <c r="E649" s="22"/>
      <c r="F649" s="11">
        <f>F490+F493+F496+F499+F502+F505+F508+F511+F514+F517+F520+F523+F526+F532+F538+F550+F555+F560+F565+F569+F572+F580+F587+F592++F599+F602+F616+F621+F636+F639+F643+F647+F648</f>
        <v>233866</v>
      </c>
      <c r="G649" s="11">
        <f>G490+G493+G496+G499+G502+G505+G508+G511+G514+G517+G520+G523+G526+G532+G538+G550+G555+G560+G565+G569+G572+G580+G587+G592++G599+G602+G616+G621+G636+G639+G643+G647+G648</f>
        <v>56011.5</v>
      </c>
      <c r="H649" s="11"/>
      <c r="I649" s="11">
        <f>I490+I493+I496+I499+I502+I505+I508+I511+I514+I517+I520+I523+I526+I532+I538+I550+I555+I560+I565+I569+I572+I580+I587+I592++I599+I602+I616+I621+I636+I639+I643+I647+I648</f>
        <v>1838.1000000000001</v>
      </c>
      <c r="J649" s="11"/>
      <c r="K649" s="11"/>
      <c r="L649" s="11"/>
      <c r="M649" s="11"/>
      <c r="N649" s="11">
        <f aca="true" t="shared" si="72" ref="N649:S649">N490+N493+N496+N499+N502+N505+N508+N511+N514+N517+N520+N523+N526+N532+N538+N550+N555+N560+N565+N569+N572+N580+N587+N592++N599+N602+N616+N621+N636+N639+N643+N647+N648</f>
        <v>423.32620000000003</v>
      </c>
      <c r="O649" s="11">
        <f t="shared" si="72"/>
        <v>2193.9</v>
      </c>
      <c r="P649" s="11">
        <f t="shared" si="72"/>
        <v>60466.8262</v>
      </c>
      <c r="Q649" s="11">
        <f t="shared" si="72"/>
        <v>294332.8262</v>
      </c>
      <c r="R649" s="11">
        <f t="shared" si="72"/>
        <v>0</v>
      </c>
      <c r="S649" s="11">
        <f t="shared" si="72"/>
        <v>3531993.9144000006</v>
      </c>
      <c r="T649" s="12"/>
    </row>
    <row r="650" spans="1:20" ht="12" customHeight="1">
      <c r="A650" s="10"/>
      <c r="B650" s="26" t="s">
        <v>160</v>
      </c>
      <c r="C650" s="11">
        <f>C486+C649</f>
        <v>400.5</v>
      </c>
      <c r="D650" s="11"/>
      <c r="E650" s="11"/>
      <c r="F650" s="11">
        <f aca="true" t="shared" si="73" ref="F650:K650">F486+F649</f>
        <v>796089</v>
      </c>
      <c r="G650" s="11">
        <f t="shared" si="73"/>
        <v>104133</v>
      </c>
      <c r="H650" s="11">
        <f t="shared" si="73"/>
        <v>3802.9875</v>
      </c>
      <c r="I650" s="11">
        <f t="shared" si="73"/>
        <v>89686.71250000002</v>
      </c>
      <c r="J650" s="11">
        <f t="shared" si="73"/>
        <v>40933.950000000004</v>
      </c>
      <c r="K650" s="11">
        <f t="shared" si="73"/>
        <v>42678.962499999994</v>
      </c>
      <c r="L650" s="11"/>
      <c r="M650" s="11">
        <f aca="true" t="shared" si="74" ref="M650:S650">M486+M649</f>
        <v>2407.7999999999997</v>
      </c>
      <c r="N650" s="11">
        <f t="shared" si="74"/>
        <v>423.32620000000003</v>
      </c>
      <c r="O650" s="11">
        <f t="shared" si="74"/>
        <v>2193.9</v>
      </c>
      <c r="P650" s="11">
        <f t="shared" si="74"/>
        <v>286260.6387</v>
      </c>
      <c r="Q650" s="11">
        <f t="shared" si="74"/>
        <v>1142349.6387</v>
      </c>
      <c r="R650" s="11">
        <f t="shared" si="74"/>
        <v>0</v>
      </c>
      <c r="S650" s="11">
        <f t="shared" si="74"/>
        <v>13708195.6644</v>
      </c>
      <c r="T650" s="12"/>
    </row>
    <row r="651" spans="1:20" ht="15" customHeight="1">
      <c r="A651" s="157" t="s">
        <v>161</v>
      </c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9"/>
      <c r="T651" s="12"/>
    </row>
    <row r="652" spans="1:20" ht="24.75" customHeight="1">
      <c r="A652" s="3">
        <v>1</v>
      </c>
      <c r="B652" s="2" t="s">
        <v>5</v>
      </c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4"/>
      <c r="N652" s="124"/>
      <c r="O652" s="122"/>
      <c r="P652" s="122"/>
      <c r="Q652" s="122"/>
      <c r="R652" s="122"/>
      <c r="S652" s="122"/>
      <c r="T652" s="12"/>
    </row>
    <row r="653" spans="1:20" ht="12.75" customHeight="1">
      <c r="A653" s="50"/>
      <c r="B653" s="31" t="s">
        <v>208</v>
      </c>
      <c r="C653" s="7">
        <v>1</v>
      </c>
      <c r="D653" s="7">
        <v>21</v>
      </c>
      <c r="E653" s="7">
        <v>3280</v>
      </c>
      <c r="F653" s="7">
        <f>E653*C653</f>
        <v>3280</v>
      </c>
      <c r="G653" s="4">
        <f>F653*0.3</f>
        <v>984</v>
      </c>
      <c r="H653" s="7"/>
      <c r="I653" s="4">
        <f>E653*C653*0.3</f>
        <v>984</v>
      </c>
      <c r="J653" s="4"/>
      <c r="K653" s="4">
        <f>E653*C653*0.25</f>
        <v>820</v>
      </c>
      <c r="L653" s="7"/>
      <c r="M653" s="7"/>
      <c r="N653" s="7"/>
      <c r="O653" s="7"/>
      <c r="P653" s="4">
        <f>SUM(G653:O653)</f>
        <v>2788</v>
      </c>
      <c r="Q653" s="4">
        <f>E653*C653+SUM(G653:O653)</f>
        <v>6068</v>
      </c>
      <c r="R653" s="4"/>
      <c r="S653" s="4">
        <f>Q653*$R$17</f>
        <v>72816</v>
      </c>
      <c r="T653" s="12"/>
    </row>
    <row r="654" spans="1:20" ht="12.75" customHeight="1">
      <c r="A654" s="10"/>
      <c r="B654" s="26" t="s">
        <v>40</v>
      </c>
      <c r="C654" s="10">
        <f>SUM(C653)</f>
        <v>1</v>
      </c>
      <c r="D654" s="10"/>
      <c r="E654" s="10"/>
      <c r="F654" s="10">
        <f>SUM(F653)</f>
        <v>3280</v>
      </c>
      <c r="G654" s="11">
        <f>SUM(G653)</f>
        <v>984</v>
      </c>
      <c r="H654" s="10"/>
      <c r="I654" s="11">
        <f>SUM(I653)</f>
        <v>984</v>
      </c>
      <c r="J654" s="11"/>
      <c r="K654" s="11">
        <f>SUM(K653)</f>
        <v>820</v>
      </c>
      <c r="L654" s="10"/>
      <c r="M654" s="10"/>
      <c r="N654" s="10"/>
      <c r="O654" s="10"/>
      <c r="P654" s="11">
        <f>SUM(P653)</f>
        <v>2788</v>
      </c>
      <c r="Q654" s="11">
        <f>SUM(Q653)</f>
        <v>6068</v>
      </c>
      <c r="R654" s="10">
        <f>SUM(R653)</f>
        <v>0</v>
      </c>
      <c r="S654" s="10">
        <f>SUM(S653)</f>
        <v>72816</v>
      </c>
      <c r="T654" s="12"/>
    </row>
    <row r="655" spans="1:20" ht="12.75" customHeight="1">
      <c r="A655" s="3">
        <v>2</v>
      </c>
      <c r="B655" s="58" t="s">
        <v>305</v>
      </c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12"/>
    </row>
    <row r="656" spans="1:20" ht="12.75" customHeight="1">
      <c r="A656" s="8"/>
      <c r="B656" s="27" t="s">
        <v>162</v>
      </c>
      <c r="C656" s="8">
        <v>1</v>
      </c>
      <c r="D656" s="8">
        <v>6</v>
      </c>
      <c r="E656" s="8">
        <v>1263</v>
      </c>
      <c r="F656" s="7">
        <f>E656*C656</f>
        <v>1263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4">
        <f>E656*C656+SUM(G656:O656)</f>
        <v>1263</v>
      </c>
      <c r="R656" s="7"/>
      <c r="S656" s="4">
        <f>Q656*$R$17</f>
        <v>15156</v>
      </c>
      <c r="T656" s="12"/>
    </row>
    <row r="657" spans="1:20" ht="12.75" customHeight="1">
      <c r="A657" s="10"/>
      <c r="B657" s="26" t="s">
        <v>40</v>
      </c>
      <c r="C657" s="10">
        <f>SUM(C656)</f>
        <v>1</v>
      </c>
      <c r="D657" s="10"/>
      <c r="E657" s="10"/>
      <c r="F657" s="10">
        <f>SUM(F656)</f>
        <v>1263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>
        <f>SUM(Q656)</f>
        <v>1263</v>
      </c>
      <c r="R657" s="10">
        <f>SUM(R656)</f>
        <v>0</v>
      </c>
      <c r="S657" s="10">
        <f>SUM(S656)</f>
        <v>15156</v>
      </c>
      <c r="T657" s="12"/>
    </row>
    <row r="658" spans="1:20" ht="12.75" customHeight="1">
      <c r="A658" s="139" t="s">
        <v>10</v>
      </c>
      <c r="B658" s="2" t="s">
        <v>451</v>
      </c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12"/>
    </row>
    <row r="659" spans="1:20" ht="12.75" customHeight="1">
      <c r="A659" s="140"/>
      <c r="B659" s="31" t="s">
        <v>452</v>
      </c>
      <c r="C659" s="7">
        <v>0.5</v>
      </c>
      <c r="D659" s="7">
        <v>7</v>
      </c>
      <c r="E659" s="7">
        <v>1312</v>
      </c>
      <c r="F659" s="7">
        <f>E659*C659</f>
        <v>656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4">
        <f>E659*C659+SUM(G659:O659)</f>
        <v>656</v>
      </c>
      <c r="R659" s="7"/>
      <c r="S659" s="4">
        <f>Q659*$R$17</f>
        <v>7872</v>
      </c>
      <c r="T659" s="12"/>
    </row>
    <row r="660" spans="1:20" ht="12.75" customHeight="1">
      <c r="A660" s="141"/>
      <c r="B660" s="26" t="s">
        <v>40</v>
      </c>
      <c r="C660" s="10">
        <f>SUM(C659:C659)</f>
        <v>0.5</v>
      </c>
      <c r="D660" s="10"/>
      <c r="E660" s="10"/>
      <c r="F660" s="10">
        <f>SUM(F659:F659)</f>
        <v>656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>
        <f>SUM(Q659)</f>
        <v>656</v>
      </c>
      <c r="R660" s="10">
        <f>SUM(R659)</f>
        <v>0</v>
      </c>
      <c r="S660" s="10">
        <f>SUM(S659)</f>
        <v>7872</v>
      </c>
      <c r="T660" s="12"/>
    </row>
    <row r="661" spans="1:20" ht="12.75" customHeight="1">
      <c r="A661" s="3" t="s">
        <v>13</v>
      </c>
      <c r="B661" s="2" t="s">
        <v>163</v>
      </c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12"/>
    </row>
    <row r="662" spans="1:20" ht="12.75" customHeight="1">
      <c r="A662" s="7"/>
      <c r="B662" s="31" t="s">
        <v>96</v>
      </c>
      <c r="C662" s="7">
        <v>1</v>
      </c>
      <c r="D662" s="7">
        <v>11</v>
      </c>
      <c r="E662" s="7">
        <v>1678</v>
      </c>
      <c r="F662" s="7">
        <f>E662*C662</f>
        <v>1678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4">
        <f>E662*C662+SUM(G662:O662)</f>
        <v>1678</v>
      </c>
      <c r="R662" s="7"/>
      <c r="S662" s="4">
        <f>Q662*$R$17</f>
        <v>20136</v>
      </c>
      <c r="T662" s="12"/>
    </row>
    <row r="663" spans="1:20" ht="12.75" customHeight="1">
      <c r="A663" s="7"/>
      <c r="B663" s="31" t="s">
        <v>164</v>
      </c>
      <c r="C663" s="7">
        <v>1</v>
      </c>
      <c r="D663" s="7">
        <v>5</v>
      </c>
      <c r="E663" s="7">
        <v>1253</v>
      </c>
      <c r="F663" s="7">
        <f>E663*C663</f>
        <v>1253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4">
        <f>E663*C663+SUM(G663:O663)</f>
        <v>1253</v>
      </c>
      <c r="R663" s="7"/>
      <c r="S663" s="4">
        <f>Q663*$R$17</f>
        <v>15036</v>
      </c>
      <c r="T663" s="12"/>
    </row>
    <row r="664" spans="1:20" ht="12.75" customHeight="1">
      <c r="A664" s="7"/>
      <c r="B664" s="31" t="s">
        <v>122</v>
      </c>
      <c r="C664" s="7">
        <v>1</v>
      </c>
      <c r="D664" s="7">
        <v>5</v>
      </c>
      <c r="E664" s="7">
        <v>1253</v>
      </c>
      <c r="F664" s="7">
        <f>E664*C664</f>
        <v>1253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4">
        <f>E664*C664+SUM(G664:O664)</f>
        <v>1253</v>
      </c>
      <c r="R664" s="7"/>
      <c r="S664" s="4">
        <f>Q664*$R$17</f>
        <v>15036</v>
      </c>
      <c r="T664" s="12"/>
    </row>
    <row r="665" spans="1:20" ht="12.75" customHeight="1">
      <c r="A665" s="8"/>
      <c r="B665" s="27" t="s">
        <v>117</v>
      </c>
      <c r="C665" s="8">
        <v>2.5</v>
      </c>
      <c r="D665" s="8">
        <v>4</v>
      </c>
      <c r="E665" s="8">
        <v>1243</v>
      </c>
      <c r="F665" s="7">
        <f>E665*C665</f>
        <v>3107.5</v>
      </c>
      <c r="G665" s="8"/>
      <c r="H665" s="8"/>
      <c r="I665" s="8"/>
      <c r="J665" s="8"/>
      <c r="K665" s="8"/>
      <c r="L665" s="8"/>
      <c r="M665" s="8"/>
      <c r="N665" s="8"/>
      <c r="O665" s="8"/>
      <c r="P665" s="7"/>
      <c r="Q665" s="4">
        <f>E665*C665+SUM(G665:O665)</f>
        <v>3107.5</v>
      </c>
      <c r="R665" s="8"/>
      <c r="S665" s="4">
        <f>Q665*$R$17</f>
        <v>37290</v>
      </c>
      <c r="T665" s="12"/>
    </row>
    <row r="666" spans="1:20" ht="12.75" customHeight="1">
      <c r="A666" s="10"/>
      <c r="B666" s="26" t="s">
        <v>40</v>
      </c>
      <c r="C666" s="10">
        <f>SUM(C662:C665)</f>
        <v>5.5</v>
      </c>
      <c r="D666" s="10"/>
      <c r="E666" s="10"/>
      <c r="F666" s="10">
        <f>SUM(F662:F665)</f>
        <v>7291.5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>
        <f>SUM(Q662:Q665)</f>
        <v>7291.5</v>
      </c>
      <c r="R666" s="10">
        <f>SUM(R662:R665)</f>
        <v>0</v>
      </c>
      <c r="S666" s="10">
        <f>SUM(S662:S665)</f>
        <v>87498</v>
      </c>
      <c r="T666" s="12"/>
    </row>
    <row r="667" spans="1:20" ht="24.75" customHeight="1">
      <c r="A667" s="3" t="s">
        <v>19</v>
      </c>
      <c r="B667" s="2" t="s">
        <v>177</v>
      </c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12"/>
    </row>
    <row r="668" spans="1:20" ht="12.75" customHeight="1">
      <c r="A668" s="7"/>
      <c r="B668" s="31" t="s">
        <v>165</v>
      </c>
      <c r="C668" s="7">
        <v>2</v>
      </c>
      <c r="D668" s="7">
        <v>5</v>
      </c>
      <c r="E668" s="7">
        <v>1253</v>
      </c>
      <c r="F668" s="7">
        <f>E668*C668</f>
        <v>2506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4">
        <f>E668*C668+SUM(G668:O668)</f>
        <v>2506</v>
      </c>
      <c r="R668" s="7"/>
      <c r="S668" s="4">
        <f>Q668*$R$17</f>
        <v>30072</v>
      </c>
      <c r="T668" s="12"/>
    </row>
    <row r="669" spans="1:20" ht="12.75" customHeight="1">
      <c r="A669" s="7"/>
      <c r="B669" s="27" t="s">
        <v>110</v>
      </c>
      <c r="C669" s="8">
        <v>1</v>
      </c>
      <c r="D669" s="8">
        <v>4</v>
      </c>
      <c r="E669" s="8">
        <v>1243</v>
      </c>
      <c r="F669" s="7">
        <f>E669*C669</f>
        <v>1243</v>
      </c>
      <c r="G669" s="8"/>
      <c r="H669" s="8"/>
      <c r="I669" s="8"/>
      <c r="J669" s="8"/>
      <c r="K669" s="8"/>
      <c r="L669" s="8"/>
      <c r="M669" s="8"/>
      <c r="N669" s="8"/>
      <c r="O669" s="8"/>
      <c r="P669" s="7"/>
      <c r="Q669" s="4">
        <f>E669*C669+SUM(G669:O669)</f>
        <v>1243</v>
      </c>
      <c r="R669" s="8"/>
      <c r="S669" s="4">
        <f>Q669*$R$17</f>
        <v>14916</v>
      </c>
      <c r="T669" s="12"/>
    </row>
    <row r="670" spans="1:20" ht="12.75" customHeight="1">
      <c r="A670" s="10"/>
      <c r="B670" s="26" t="s">
        <v>40</v>
      </c>
      <c r="C670" s="10">
        <f>SUM(C668:C669)</f>
        <v>3</v>
      </c>
      <c r="D670" s="10"/>
      <c r="E670" s="10">
        <f>SUM(E668:E669)</f>
        <v>2496</v>
      </c>
      <c r="F670" s="10">
        <f>SUM(F668:F669)</f>
        <v>3749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>
        <f>SUM(Q668:Q669)</f>
        <v>3749</v>
      </c>
      <c r="R670" s="10">
        <f>SUM(R668:R669)</f>
        <v>0</v>
      </c>
      <c r="S670" s="10">
        <f>SUM(S668:S669)</f>
        <v>44988</v>
      </c>
      <c r="T670" s="12"/>
    </row>
    <row r="671" spans="1:20" ht="24.75" customHeight="1">
      <c r="A671" s="3" t="s">
        <v>20</v>
      </c>
      <c r="B671" s="58" t="s">
        <v>523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12"/>
    </row>
    <row r="672" spans="1:20" ht="12.75" customHeight="1">
      <c r="A672" s="7"/>
      <c r="B672" s="31" t="s">
        <v>524</v>
      </c>
      <c r="C672" s="7">
        <v>1</v>
      </c>
      <c r="D672" s="7">
        <v>17</v>
      </c>
      <c r="E672" s="7">
        <v>2556</v>
      </c>
      <c r="F672" s="7">
        <f>E672*C672</f>
        <v>2556</v>
      </c>
      <c r="G672" s="7"/>
      <c r="H672" s="7"/>
      <c r="I672" s="4">
        <f>E672*C672*0.3</f>
        <v>766.8</v>
      </c>
      <c r="J672" s="4"/>
      <c r="K672" s="7"/>
      <c r="L672" s="4">
        <f>E672*C672*0.1</f>
        <v>255.60000000000002</v>
      </c>
      <c r="M672" s="7"/>
      <c r="N672" s="7"/>
      <c r="O672" s="4"/>
      <c r="P672" s="4">
        <f>SUM(G672:O672)</f>
        <v>1022.4</v>
      </c>
      <c r="Q672" s="4">
        <f>E672*C672+SUM(G672:O672)</f>
        <v>3578.4</v>
      </c>
      <c r="R672" s="4"/>
      <c r="S672" s="4">
        <f>Q672*$R$17</f>
        <v>42940.8</v>
      </c>
      <c r="T672" s="12"/>
    </row>
    <row r="673" spans="1:20" ht="12.75" customHeight="1">
      <c r="A673" s="7"/>
      <c r="B673" s="31" t="s">
        <v>209</v>
      </c>
      <c r="C673" s="7">
        <v>1</v>
      </c>
      <c r="D673" s="7">
        <v>19</v>
      </c>
      <c r="E673" s="7">
        <v>2914</v>
      </c>
      <c r="F673" s="7">
        <f>E673*C673</f>
        <v>2914</v>
      </c>
      <c r="G673" s="7"/>
      <c r="H673" s="7"/>
      <c r="I673" s="4">
        <f>E673*C673*0.3</f>
        <v>874.1999999999999</v>
      </c>
      <c r="J673" s="4"/>
      <c r="K673" s="4">
        <f>E673*C673*0.25</f>
        <v>728.5</v>
      </c>
      <c r="L673" s="7"/>
      <c r="M673" s="4">
        <f>F673*0.3</f>
        <v>874.1999999999999</v>
      </c>
      <c r="N673" s="7"/>
      <c r="O673" s="4"/>
      <c r="P673" s="4">
        <f>SUM(G673:O673)</f>
        <v>2476.8999999999996</v>
      </c>
      <c r="Q673" s="4">
        <f>E673*C673+SUM(G673:O673)</f>
        <v>5390.9</v>
      </c>
      <c r="R673" s="4"/>
      <c r="S673" s="4">
        <f>Q673*$R$17</f>
        <v>64690.799999999996</v>
      </c>
      <c r="T673" s="12"/>
    </row>
    <row r="674" spans="1:20" ht="12.75" customHeight="1">
      <c r="A674" s="8"/>
      <c r="B674" s="27" t="s">
        <v>207</v>
      </c>
      <c r="C674" s="8">
        <v>9</v>
      </c>
      <c r="D674" s="8">
        <v>17</v>
      </c>
      <c r="E674" s="8">
        <v>2556</v>
      </c>
      <c r="F674" s="7">
        <f>E674*C674</f>
        <v>23004</v>
      </c>
      <c r="G674" s="8"/>
      <c r="H674" s="8"/>
      <c r="I674" s="4">
        <f>E674*3*0.3+E674*0.2+E674*1.01*2</f>
        <v>7974.72</v>
      </c>
      <c r="J674" s="4"/>
      <c r="K674" s="8"/>
      <c r="L674" s="8"/>
      <c r="M674" s="8"/>
      <c r="N674" s="8"/>
      <c r="O674" s="4"/>
      <c r="P674" s="4">
        <f>SUM(G674:O674)</f>
        <v>7974.72</v>
      </c>
      <c r="Q674" s="4">
        <f>E674*C674+SUM(G674:O674)</f>
        <v>30978.72</v>
      </c>
      <c r="R674" s="4"/>
      <c r="S674" s="4">
        <f>Q674*$R$17</f>
        <v>371744.64</v>
      </c>
      <c r="T674" s="12"/>
    </row>
    <row r="675" spans="1:20" ht="12.75" customHeight="1">
      <c r="A675" s="10"/>
      <c r="B675" s="26" t="s">
        <v>40</v>
      </c>
      <c r="C675" s="10">
        <f>SUM(C672:C674)</f>
        <v>11</v>
      </c>
      <c r="D675" s="10"/>
      <c r="E675" s="10"/>
      <c r="F675" s="10">
        <f>SUM(F672:F674)</f>
        <v>28474</v>
      </c>
      <c r="G675" s="10"/>
      <c r="H675" s="10"/>
      <c r="I675" s="11">
        <f>SUM(I672:I674)</f>
        <v>9615.720000000001</v>
      </c>
      <c r="J675" s="11"/>
      <c r="K675" s="11">
        <f>SUM(K672:K674)</f>
        <v>728.5</v>
      </c>
      <c r="L675" s="11">
        <f>SUM(L672:L674)</f>
        <v>255.60000000000002</v>
      </c>
      <c r="M675" s="11">
        <f>SUM(M672:M674)</f>
        <v>874.1999999999999</v>
      </c>
      <c r="N675" s="10"/>
      <c r="O675" s="11"/>
      <c r="P675" s="11">
        <f>SUM(P672:P674)</f>
        <v>11474.02</v>
      </c>
      <c r="Q675" s="11">
        <f>SUM(Q672:Q674)</f>
        <v>39948.020000000004</v>
      </c>
      <c r="R675" s="11">
        <f>SUM(R672:R674)</f>
        <v>0</v>
      </c>
      <c r="S675" s="11">
        <f>SUM(S672:S674)</f>
        <v>479376.24</v>
      </c>
      <c r="T675" s="12"/>
    </row>
    <row r="676" spans="1:20" ht="24.75" customHeight="1">
      <c r="A676" s="3" t="s">
        <v>21</v>
      </c>
      <c r="B676" s="2" t="s">
        <v>181</v>
      </c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12"/>
    </row>
    <row r="677" spans="1:20" ht="12.75" customHeight="1">
      <c r="A677" s="7"/>
      <c r="B677" s="31" t="s">
        <v>502</v>
      </c>
      <c r="C677" s="7">
        <v>1</v>
      </c>
      <c r="D677" s="7">
        <v>11</v>
      </c>
      <c r="E677" s="7">
        <v>1678</v>
      </c>
      <c r="F677" s="7">
        <f>E677*C677</f>
        <v>1678</v>
      </c>
      <c r="G677" s="7"/>
      <c r="H677" s="7"/>
      <c r="I677" s="4"/>
      <c r="J677" s="7"/>
      <c r="K677" s="7"/>
      <c r="L677" s="7"/>
      <c r="M677" s="7"/>
      <c r="N677" s="7"/>
      <c r="O677" s="7"/>
      <c r="P677" s="4"/>
      <c r="Q677" s="4">
        <f>E677*C677+SUM(G677:O677)</f>
        <v>1678</v>
      </c>
      <c r="R677" s="7"/>
      <c r="S677" s="4">
        <f>Q677*$R$17</f>
        <v>20136</v>
      </c>
      <c r="T677" s="12"/>
    </row>
    <row r="678" spans="1:20" ht="12.75" customHeight="1">
      <c r="A678" s="8"/>
      <c r="B678" s="27" t="s">
        <v>80</v>
      </c>
      <c r="C678" s="8">
        <v>2</v>
      </c>
      <c r="D678" s="8">
        <v>4</v>
      </c>
      <c r="E678" s="8">
        <v>1243</v>
      </c>
      <c r="F678" s="8">
        <f>E678*C678</f>
        <v>2486</v>
      </c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9">
        <f>E678*C678+SUM(G678:O678)</f>
        <v>2486</v>
      </c>
      <c r="R678" s="8"/>
      <c r="S678" s="9">
        <f>Q678*$R$17</f>
        <v>29832</v>
      </c>
      <c r="T678" s="12"/>
    </row>
    <row r="679" spans="1:20" ht="12.75" customHeight="1">
      <c r="A679" s="10"/>
      <c r="B679" s="26" t="s">
        <v>40</v>
      </c>
      <c r="C679" s="10">
        <f>SUM(C677:C678)</f>
        <v>3</v>
      </c>
      <c r="D679" s="10"/>
      <c r="E679" s="10"/>
      <c r="F679" s="10">
        <f>SUM(F677:F678)</f>
        <v>4164</v>
      </c>
      <c r="G679" s="10"/>
      <c r="H679" s="10"/>
      <c r="I679" s="11"/>
      <c r="J679" s="11"/>
      <c r="K679" s="11"/>
      <c r="L679" s="11"/>
      <c r="M679" s="11"/>
      <c r="N679" s="11"/>
      <c r="O679" s="11"/>
      <c r="P679" s="11"/>
      <c r="Q679" s="11">
        <f>SUM(Q677:Q678)</f>
        <v>4164</v>
      </c>
      <c r="R679" s="11">
        <f>SUM(R677:R678)</f>
        <v>0</v>
      </c>
      <c r="S679" s="11">
        <f>SUM(S677:S678)</f>
        <v>49968</v>
      </c>
      <c r="T679" s="12"/>
    </row>
    <row r="680" spans="1:20" ht="12.75" customHeight="1">
      <c r="A680" s="10"/>
      <c r="B680" s="26" t="s">
        <v>32</v>
      </c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1"/>
      <c r="R680" s="11"/>
      <c r="S680" s="4"/>
      <c r="T680" s="12"/>
    </row>
    <row r="681" spans="1:20" ht="12.75" customHeight="1">
      <c r="A681" s="10"/>
      <c r="B681" s="26" t="s">
        <v>166</v>
      </c>
      <c r="C681" s="11">
        <f>C654+C657+C660+C666+C670+C675+C679+C680</f>
        <v>25</v>
      </c>
      <c r="D681" s="11"/>
      <c r="E681" s="11"/>
      <c r="F681" s="11">
        <f>F654+F657+F660+F666+F670+F675+F679+F680</f>
        <v>48877.5</v>
      </c>
      <c r="G681" s="11">
        <f>G654+G657+G660+G666+G670+G675+G679+G680</f>
        <v>984</v>
      </c>
      <c r="H681" s="11"/>
      <c r="I681" s="11">
        <f>I654+I657+I660+I666+I670+I675+I679+I680</f>
        <v>10599.720000000001</v>
      </c>
      <c r="J681" s="11"/>
      <c r="K681" s="11">
        <f>K654+K657+K660+K666+K670+K675+K679+K680</f>
        <v>1548.5</v>
      </c>
      <c r="L681" s="11">
        <f>L654+L657+L660+L666+L670+L675+L679+L680</f>
        <v>255.60000000000002</v>
      </c>
      <c r="M681" s="11">
        <f>M654+M657+M660+M666+M670+M675+M679+M680</f>
        <v>874.1999999999999</v>
      </c>
      <c r="N681" s="11"/>
      <c r="O681" s="11"/>
      <c r="P681" s="11">
        <f>P654+P657+P660+P666+P670+P675+P679+P680</f>
        <v>14262.02</v>
      </c>
      <c r="Q681" s="11">
        <f>Q654+Q657+Q660+Q666+Q670+Q675+Q679+Q680</f>
        <v>63139.520000000004</v>
      </c>
      <c r="R681" s="11">
        <f>R654+R657+R660+R666+R670+R675+R679+R680</f>
        <v>0</v>
      </c>
      <c r="S681" s="11">
        <f>S654+S657+S660+S666+S670+S675+S679+S680</f>
        <v>757674.24</v>
      </c>
      <c r="T681" s="12"/>
    </row>
    <row r="682" spans="1:20" ht="14.25" customHeight="1">
      <c r="A682" s="157" t="s">
        <v>257</v>
      </c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9"/>
      <c r="T682" s="12"/>
    </row>
    <row r="683" spans="1:20" ht="12.75" customHeight="1">
      <c r="A683" s="3">
        <v>1</v>
      </c>
      <c r="B683" s="2" t="s">
        <v>543</v>
      </c>
      <c r="C683" s="3">
        <v>1</v>
      </c>
      <c r="D683" s="3">
        <v>21</v>
      </c>
      <c r="E683" s="3">
        <v>3280</v>
      </c>
      <c r="F683" s="5">
        <f>E683*C683</f>
        <v>3280</v>
      </c>
      <c r="G683" s="5"/>
      <c r="H683" s="46"/>
      <c r="I683" s="5">
        <f>E683*C683*0.3</f>
        <v>984</v>
      </c>
      <c r="J683" s="5">
        <f>E683*C683*0.15</f>
        <v>492</v>
      </c>
      <c r="K683" s="5">
        <f>E683*C683*0.25</f>
        <v>820</v>
      </c>
      <c r="L683" s="3"/>
      <c r="M683" s="3"/>
      <c r="N683" s="3"/>
      <c r="O683" s="3"/>
      <c r="P683" s="5">
        <f>SUM(G683:O683)</f>
        <v>2296</v>
      </c>
      <c r="Q683" s="5">
        <f>E683*C683+SUM(G683:O683)</f>
        <v>5576</v>
      </c>
      <c r="R683" s="5"/>
      <c r="S683" s="5">
        <f>Q683*$R$17</f>
        <v>66912</v>
      </c>
      <c r="T683" s="12"/>
    </row>
    <row r="684" spans="1:20" ht="12.75" customHeight="1">
      <c r="A684" s="7">
        <f>A683+1</f>
        <v>2</v>
      </c>
      <c r="B684" s="31" t="s">
        <v>454</v>
      </c>
      <c r="C684" s="7">
        <v>0.5</v>
      </c>
      <c r="D684" s="7">
        <v>7</v>
      </c>
      <c r="E684" s="7">
        <v>1312</v>
      </c>
      <c r="F684" s="7">
        <f>E684*C684</f>
        <v>656</v>
      </c>
      <c r="G684" s="7"/>
      <c r="H684" s="7"/>
      <c r="I684" s="4"/>
      <c r="J684" s="4"/>
      <c r="K684" s="4"/>
      <c r="L684" s="7"/>
      <c r="M684" s="7"/>
      <c r="N684" s="7"/>
      <c r="O684" s="7"/>
      <c r="P684" s="7"/>
      <c r="Q684" s="4">
        <f>E684*C684+SUM(G684:O684)</f>
        <v>656</v>
      </c>
      <c r="R684" s="7"/>
      <c r="S684" s="4">
        <f>Q684*$R$17</f>
        <v>7872</v>
      </c>
      <c r="T684" s="12"/>
    </row>
    <row r="685" spans="1:20" ht="12.75" customHeight="1">
      <c r="A685" s="7">
        <v>3</v>
      </c>
      <c r="B685" s="31" t="s">
        <v>306</v>
      </c>
      <c r="C685" s="7">
        <v>1</v>
      </c>
      <c r="D685" s="7">
        <v>6</v>
      </c>
      <c r="E685" s="7">
        <v>1263</v>
      </c>
      <c r="F685" s="4">
        <f>E685*C685</f>
        <v>1263</v>
      </c>
      <c r="G685" s="7"/>
      <c r="H685" s="7"/>
      <c r="I685" s="4"/>
      <c r="J685" s="4"/>
      <c r="K685" s="4"/>
      <c r="L685" s="7"/>
      <c r="M685" s="7"/>
      <c r="N685" s="7"/>
      <c r="O685" s="7"/>
      <c r="P685" s="4"/>
      <c r="Q685" s="4">
        <f>E685*C685+SUM(G685:O685)</f>
        <v>1263</v>
      </c>
      <c r="R685" s="7"/>
      <c r="S685" s="4">
        <f>Q685*$R$17</f>
        <v>15156</v>
      </c>
      <c r="T685" s="12"/>
    </row>
    <row r="686" spans="1:20" ht="12.75" customHeight="1">
      <c r="A686" s="7">
        <f>A685+1</f>
        <v>4</v>
      </c>
      <c r="B686" s="31" t="s">
        <v>440</v>
      </c>
      <c r="C686" s="7">
        <v>1</v>
      </c>
      <c r="D686" s="7">
        <v>4</v>
      </c>
      <c r="E686" s="7">
        <v>1243</v>
      </c>
      <c r="F686" s="4">
        <f>E686*C686</f>
        <v>1243</v>
      </c>
      <c r="G686" s="7"/>
      <c r="H686" s="7"/>
      <c r="I686" s="4"/>
      <c r="J686" s="4"/>
      <c r="K686" s="4"/>
      <c r="L686" s="7"/>
      <c r="M686" s="7"/>
      <c r="N686" s="7"/>
      <c r="O686" s="7"/>
      <c r="P686" s="4"/>
      <c r="Q686" s="4">
        <f>E686*C686+SUM(G686:O686)</f>
        <v>1243</v>
      </c>
      <c r="R686" s="7"/>
      <c r="S686" s="4">
        <f>Q686*$R$17</f>
        <v>14916</v>
      </c>
      <c r="T686" s="12"/>
    </row>
    <row r="687" spans="1:20" ht="12.75" customHeight="1">
      <c r="A687" s="8">
        <f>A686+1</f>
        <v>5</v>
      </c>
      <c r="B687" s="27" t="s">
        <v>441</v>
      </c>
      <c r="C687" s="8">
        <v>1</v>
      </c>
      <c r="D687" s="8">
        <v>4</v>
      </c>
      <c r="E687" s="8">
        <v>1243</v>
      </c>
      <c r="F687" s="9">
        <f>E687*C687</f>
        <v>1243</v>
      </c>
      <c r="G687" s="8"/>
      <c r="H687" s="8"/>
      <c r="I687" s="9"/>
      <c r="J687" s="9"/>
      <c r="K687" s="9"/>
      <c r="L687" s="8"/>
      <c r="M687" s="8"/>
      <c r="N687" s="8"/>
      <c r="O687" s="8"/>
      <c r="P687" s="8"/>
      <c r="Q687" s="9">
        <f>E687*C687+SUM(G687:O687)</f>
        <v>1243</v>
      </c>
      <c r="R687" s="8"/>
      <c r="S687" s="9">
        <f>Q687*$R$17</f>
        <v>14916</v>
      </c>
      <c r="T687" s="12"/>
    </row>
    <row r="688" spans="1:20" ht="12.75" customHeight="1">
      <c r="A688" s="10"/>
      <c r="B688" s="68" t="s">
        <v>40</v>
      </c>
      <c r="C688" s="10">
        <f>SUM(C683:C687)</f>
        <v>4.5</v>
      </c>
      <c r="D688" s="10"/>
      <c r="E688" s="10"/>
      <c r="F688" s="10">
        <f>SUM(F683:F687)</f>
        <v>7685</v>
      </c>
      <c r="G688" s="10"/>
      <c r="H688" s="10"/>
      <c r="I688" s="10">
        <f>SUM(I683:I687)</f>
        <v>984</v>
      </c>
      <c r="J688" s="10">
        <f>SUM(J683:J687)</f>
        <v>492</v>
      </c>
      <c r="K688" s="10">
        <f>SUM(K683:K687)</f>
        <v>820</v>
      </c>
      <c r="L688" s="10"/>
      <c r="M688" s="10"/>
      <c r="N688" s="10"/>
      <c r="O688" s="10"/>
      <c r="P688" s="10">
        <f>SUM(P683:P687)</f>
        <v>2296</v>
      </c>
      <c r="Q688" s="10">
        <f>SUM(Q683:Q687)</f>
        <v>9981</v>
      </c>
      <c r="R688" s="10">
        <f>SUM(R683:R687)</f>
        <v>0</v>
      </c>
      <c r="S688" s="10">
        <f>SUM(S683:S687)</f>
        <v>119772</v>
      </c>
      <c r="T688" s="12"/>
    </row>
    <row r="689" spans="1:20" ht="24.75" customHeight="1">
      <c r="A689" s="7"/>
      <c r="B689" s="31" t="s">
        <v>442</v>
      </c>
      <c r="C689" s="7"/>
      <c r="D689" s="7"/>
      <c r="E689" s="7"/>
      <c r="F689" s="4"/>
      <c r="G689" s="4"/>
      <c r="H689" s="44"/>
      <c r="I689" s="4"/>
      <c r="J689" s="4"/>
      <c r="K689" s="4"/>
      <c r="L689" s="7"/>
      <c r="M689" s="7"/>
      <c r="N689" s="7"/>
      <c r="O689" s="7"/>
      <c r="P689" s="4"/>
      <c r="Q689" s="4"/>
      <c r="R689" s="4"/>
      <c r="S689" s="4"/>
      <c r="T689" s="12"/>
    </row>
    <row r="690" spans="1:20" ht="12.75" customHeight="1">
      <c r="A690" s="7">
        <v>1</v>
      </c>
      <c r="B690" s="31" t="s">
        <v>525</v>
      </c>
      <c r="C690" s="7">
        <v>1</v>
      </c>
      <c r="D690" s="7">
        <v>19</v>
      </c>
      <c r="E690" s="7">
        <v>2914</v>
      </c>
      <c r="F690" s="4">
        <f>E690*C690</f>
        <v>2914</v>
      </c>
      <c r="G690" s="4"/>
      <c r="H690" s="44"/>
      <c r="I690" s="4">
        <f>F690*0.3</f>
        <v>874.1999999999999</v>
      </c>
      <c r="J690" s="4">
        <f>F690*0.25</f>
        <v>728.5</v>
      </c>
      <c r="K690" s="4">
        <f>F690*0.15</f>
        <v>437.09999999999997</v>
      </c>
      <c r="L690" s="4">
        <f>F690*0.06</f>
        <v>174.84</v>
      </c>
      <c r="M690" s="7"/>
      <c r="N690" s="7"/>
      <c r="O690" s="7"/>
      <c r="P690" s="4">
        <f>SUM(G690:O690)</f>
        <v>2214.64</v>
      </c>
      <c r="Q690" s="4">
        <f>E690*C690+SUM(G690:O690)</f>
        <v>5128.639999999999</v>
      </c>
      <c r="R690" s="4"/>
      <c r="S690" s="4">
        <f>Q690*$R$17</f>
        <v>61543.67999999999</v>
      </c>
      <c r="T690" s="12"/>
    </row>
    <row r="691" spans="1:20" ht="12.75" customHeight="1">
      <c r="A691" s="7">
        <v>2</v>
      </c>
      <c r="B691" s="31" t="s">
        <v>444</v>
      </c>
      <c r="C691" s="7">
        <v>1</v>
      </c>
      <c r="D691" s="7">
        <v>19</v>
      </c>
      <c r="E691" s="7">
        <v>2914</v>
      </c>
      <c r="F691" s="4">
        <f>E691*C691</f>
        <v>2914</v>
      </c>
      <c r="G691" s="4"/>
      <c r="H691" s="44"/>
      <c r="I691" s="4">
        <f>F691*0.3</f>
        <v>874.1999999999999</v>
      </c>
      <c r="J691" s="4">
        <f>F691*0.25</f>
        <v>728.5</v>
      </c>
      <c r="K691" s="4">
        <f>F691*0.15</f>
        <v>437.09999999999997</v>
      </c>
      <c r="L691" s="4"/>
      <c r="M691" s="7"/>
      <c r="N691" s="7"/>
      <c r="O691" s="7"/>
      <c r="P691" s="4">
        <f>SUM(G691:O691)</f>
        <v>2039.7999999999997</v>
      </c>
      <c r="Q691" s="4">
        <f>E691*C691+SUM(G691:O691)</f>
        <v>4953.799999999999</v>
      </c>
      <c r="R691" s="4"/>
      <c r="S691" s="4">
        <f>Q691*$R$17</f>
        <v>59445.59999999999</v>
      </c>
      <c r="T691" s="12"/>
    </row>
    <row r="692" spans="1:20" ht="12.75" customHeight="1">
      <c r="A692" s="7">
        <v>3</v>
      </c>
      <c r="B692" s="31" t="s">
        <v>16</v>
      </c>
      <c r="C692" s="7">
        <v>7</v>
      </c>
      <c r="D692" s="7">
        <v>19</v>
      </c>
      <c r="E692" s="7">
        <v>2914</v>
      </c>
      <c r="F692" s="4">
        <f>E692*C692</f>
        <v>20398</v>
      </c>
      <c r="G692" s="4"/>
      <c r="H692" s="44"/>
      <c r="I692" s="4">
        <f>F692*0.3</f>
        <v>6119.4</v>
      </c>
      <c r="J692" s="4">
        <f>F692*0.25</f>
        <v>5099.5</v>
      </c>
      <c r="K692" s="4">
        <f>F692*0.15</f>
        <v>3059.7</v>
      </c>
      <c r="L692" s="7"/>
      <c r="M692" s="7"/>
      <c r="N692" s="7"/>
      <c r="O692" s="7"/>
      <c r="P692" s="4">
        <f>SUM(G692:O692)</f>
        <v>14278.599999999999</v>
      </c>
      <c r="Q692" s="4">
        <f>E692*C692+SUM(G692:O692)</f>
        <v>34676.6</v>
      </c>
      <c r="R692" s="4"/>
      <c r="S692" s="4">
        <f>Q692*$R$17</f>
        <v>416119.19999999995</v>
      </c>
      <c r="T692" s="12"/>
    </row>
    <row r="693" spans="1:20" ht="12.75" customHeight="1">
      <c r="A693" s="10"/>
      <c r="B693" s="26" t="s">
        <v>40</v>
      </c>
      <c r="C693" s="10">
        <f>SUM(C690:C692)</f>
        <v>9</v>
      </c>
      <c r="D693" s="10"/>
      <c r="E693" s="10"/>
      <c r="F693" s="10">
        <f>SUM(F690:F692)</f>
        <v>26226</v>
      </c>
      <c r="G693" s="10"/>
      <c r="H693" s="10"/>
      <c r="I693" s="11">
        <f>SUM(I690:I692)</f>
        <v>7867.799999999999</v>
      </c>
      <c r="J693" s="11">
        <f>SUM(J690:J692)</f>
        <v>6556.5</v>
      </c>
      <c r="K693" s="11">
        <f>SUM(K690:K692)</f>
        <v>3933.8999999999996</v>
      </c>
      <c r="L693" s="11">
        <f>SUM(L690:L692)</f>
        <v>174.84</v>
      </c>
      <c r="M693" s="10"/>
      <c r="N693" s="10"/>
      <c r="O693" s="10"/>
      <c r="P693" s="10">
        <f>SUM(P690:P692)</f>
        <v>18533.039999999997</v>
      </c>
      <c r="Q693" s="11">
        <f>SUM(Q690:Q692)</f>
        <v>44759.03999999999</v>
      </c>
      <c r="R693" s="11">
        <f>SUM(R690:R692)</f>
        <v>0</v>
      </c>
      <c r="S693" s="11">
        <f>SUM(S690:S692)</f>
        <v>537108.48</v>
      </c>
      <c r="T693" s="12"/>
    </row>
    <row r="694" spans="1:20" ht="24.75" customHeight="1">
      <c r="A694" s="3"/>
      <c r="B694" s="2" t="s">
        <v>442</v>
      </c>
      <c r="C694" s="3"/>
      <c r="D694" s="3"/>
      <c r="E694" s="3"/>
      <c r="F694" s="3"/>
      <c r="G694" s="3"/>
      <c r="H694" s="3"/>
      <c r="I694" s="5"/>
      <c r="J694" s="5"/>
      <c r="K694" s="5"/>
      <c r="L694" s="5"/>
      <c r="M694" s="3"/>
      <c r="N694" s="3"/>
      <c r="O694" s="3"/>
      <c r="P694" s="3"/>
      <c r="Q694" s="5"/>
      <c r="R694" s="5"/>
      <c r="S694" s="5"/>
      <c r="T694" s="12"/>
    </row>
    <row r="695" spans="1:20" ht="12.75" customHeight="1">
      <c r="A695" s="8">
        <v>1</v>
      </c>
      <c r="B695" s="27" t="s">
        <v>441</v>
      </c>
      <c r="C695" s="8">
        <v>1</v>
      </c>
      <c r="D695" s="8">
        <v>4</v>
      </c>
      <c r="E695" s="8">
        <v>1243</v>
      </c>
      <c r="F695" s="8">
        <f>E695*C695</f>
        <v>1243</v>
      </c>
      <c r="G695" s="8"/>
      <c r="H695" s="8"/>
      <c r="I695" s="9"/>
      <c r="J695" s="9"/>
      <c r="K695" s="9"/>
      <c r="L695" s="9"/>
      <c r="M695" s="8"/>
      <c r="N695" s="8"/>
      <c r="O695" s="8"/>
      <c r="P695" s="8"/>
      <c r="Q695" s="4">
        <f>E695*C695+SUM(G695:O695)</f>
        <v>1243</v>
      </c>
      <c r="R695" s="4"/>
      <c r="S695" s="4">
        <f>Q695*$R$17</f>
        <v>14916</v>
      </c>
      <c r="T695" s="12"/>
    </row>
    <row r="696" spans="1:20" ht="12.75" customHeight="1">
      <c r="A696" s="10"/>
      <c r="B696" s="26" t="s">
        <v>40</v>
      </c>
      <c r="C696" s="11">
        <f>SUM(C694:C695)</f>
        <v>1</v>
      </c>
      <c r="D696" s="10"/>
      <c r="E696" s="10"/>
      <c r="F696" s="11">
        <f>SUM(F694:F695)</f>
        <v>1243</v>
      </c>
      <c r="G696" s="10"/>
      <c r="H696" s="10"/>
      <c r="I696" s="11"/>
      <c r="J696" s="11"/>
      <c r="K696" s="11"/>
      <c r="L696" s="11"/>
      <c r="M696" s="10"/>
      <c r="N696" s="10"/>
      <c r="O696" s="10"/>
      <c r="P696" s="10"/>
      <c r="Q696" s="11">
        <f>SUM(Q694:Q695)</f>
        <v>1243</v>
      </c>
      <c r="R696" s="11">
        <f>SUM(R694:R695)</f>
        <v>0</v>
      </c>
      <c r="S696" s="11">
        <f>SUM(S694:S695)</f>
        <v>14916</v>
      </c>
      <c r="T696" s="12"/>
    </row>
    <row r="697" spans="1:20" ht="12.75" customHeight="1">
      <c r="A697" s="10"/>
      <c r="B697" s="68" t="s">
        <v>32</v>
      </c>
      <c r="C697" s="10"/>
      <c r="D697" s="10"/>
      <c r="E697" s="10"/>
      <c r="F697" s="11"/>
      <c r="G697" s="11"/>
      <c r="H697" s="22"/>
      <c r="I697" s="11"/>
      <c r="J697" s="11"/>
      <c r="K697" s="11"/>
      <c r="L697" s="10"/>
      <c r="M697" s="10"/>
      <c r="N697" s="10"/>
      <c r="O697" s="10"/>
      <c r="P697" s="11"/>
      <c r="Q697" s="11">
        <v>31000</v>
      </c>
      <c r="R697" s="11"/>
      <c r="S697" s="11">
        <f>Q697*$R$17</f>
        <v>372000</v>
      </c>
      <c r="T697" s="12"/>
    </row>
    <row r="698" spans="1:20" ht="12.75" customHeight="1">
      <c r="A698" s="10"/>
      <c r="B698" s="26" t="s">
        <v>443</v>
      </c>
      <c r="C698" s="22">
        <f>C688+C697+C696+C693</f>
        <v>14.5</v>
      </c>
      <c r="D698" s="11"/>
      <c r="E698" s="11"/>
      <c r="F698" s="11">
        <f>F688+F697+F696+F693</f>
        <v>35154</v>
      </c>
      <c r="G698" s="11"/>
      <c r="H698" s="11"/>
      <c r="I698" s="11">
        <f>I688+I697+I696+I693</f>
        <v>8851.8</v>
      </c>
      <c r="J698" s="11">
        <f>J688+J697+J696+J693</f>
        <v>7048.5</v>
      </c>
      <c r="K698" s="11">
        <f>K688+K697+K696+K693</f>
        <v>4753.9</v>
      </c>
      <c r="L698" s="11">
        <f>L688+L697+L696+L693</f>
        <v>174.84</v>
      </c>
      <c r="M698" s="11"/>
      <c r="N698" s="11"/>
      <c r="O698" s="11"/>
      <c r="P698" s="11">
        <f>P688+P697+P696+P693</f>
        <v>20829.039999999997</v>
      </c>
      <c r="Q698" s="11">
        <f>Q688+Q697+Q696+Q693</f>
        <v>86983.04</v>
      </c>
      <c r="R698" s="11">
        <f>R688+R697+R696+R693</f>
        <v>0</v>
      </c>
      <c r="S698" s="11">
        <f>S688+S697+S696+S693</f>
        <v>1043796.48</v>
      </c>
      <c r="T698" s="12"/>
    </row>
    <row r="699" spans="1:20" ht="12.75" customHeight="1">
      <c r="A699" s="157" t="s">
        <v>258</v>
      </c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9"/>
      <c r="T699" s="12"/>
    </row>
    <row r="700" spans="1:20" ht="12.75" customHeight="1">
      <c r="A700" s="3">
        <v>1</v>
      </c>
      <c r="B700" s="2" t="s">
        <v>438</v>
      </c>
      <c r="C700" s="3">
        <v>1</v>
      </c>
      <c r="D700" s="3">
        <v>21</v>
      </c>
      <c r="E700" s="3">
        <v>3280</v>
      </c>
      <c r="F700" s="5"/>
      <c r="G700" s="5"/>
      <c r="H700" s="3"/>
      <c r="I700" s="5"/>
      <c r="J700" s="5"/>
      <c r="K700" s="5"/>
      <c r="L700" s="3"/>
      <c r="M700" s="5">
        <v>1085.35</v>
      </c>
      <c r="N700" s="3"/>
      <c r="O700" s="3"/>
      <c r="P700" s="4">
        <f>SUM(G700:O700)</f>
        <v>1085.35</v>
      </c>
      <c r="Q700" s="4">
        <f>SUM(F700:O700)</f>
        <v>1085.35</v>
      </c>
      <c r="R700" s="5"/>
      <c r="S700" s="4">
        <f>Q700*$R$17</f>
        <v>13024.199999999999</v>
      </c>
      <c r="T700" s="12"/>
    </row>
    <row r="701" spans="1:20" ht="12.75" customHeight="1">
      <c r="A701" s="7">
        <f>A700+1</f>
        <v>2</v>
      </c>
      <c r="B701" s="123" t="s">
        <v>526</v>
      </c>
      <c r="C701" s="7">
        <v>1</v>
      </c>
      <c r="D701" s="7">
        <v>9</v>
      </c>
      <c r="E701" s="7">
        <v>1474</v>
      </c>
      <c r="F701" s="4">
        <f>E701*C701</f>
        <v>1474</v>
      </c>
      <c r="G701" s="7"/>
      <c r="H701" s="7"/>
      <c r="I701" s="7"/>
      <c r="J701" s="7"/>
      <c r="K701" s="7"/>
      <c r="L701" s="7"/>
      <c r="M701" s="7"/>
      <c r="N701" s="7"/>
      <c r="O701" s="7"/>
      <c r="P701" s="4"/>
      <c r="Q701" s="4">
        <f>SUM(F701:O701)</f>
        <v>1474</v>
      </c>
      <c r="R701" s="7"/>
      <c r="S701" s="4">
        <f>Q701*$R$17</f>
        <v>17688</v>
      </c>
      <c r="T701" s="12"/>
    </row>
    <row r="702" spans="1:20" ht="12.75" customHeight="1">
      <c r="A702" s="7">
        <f>A701+1</f>
        <v>3</v>
      </c>
      <c r="B702" s="123" t="s">
        <v>306</v>
      </c>
      <c r="C702" s="7">
        <v>2</v>
      </c>
      <c r="D702" s="7">
        <v>6</v>
      </c>
      <c r="E702" s="7">
        <v>1263</v>
      </c>
      <c r="F702" s="4">
        <f>E702*C702</f>
        <v>2526</v>
      </c>
      <c r="G702" s="7"/>
      <c r="H702" s="7"/>
      <c r="I702" s="7"/>
      <c r="J702" s="7"/>
      <c r="K702" s="7"/>
      <c r="L702" s="7"/>
      <c r="M702" s="7"/>
      <c r="N702" s="7"/>
      <c r="O702" s="7"/>
      <c r="P702" s="4"/>
      <c r="Q702" s="4">
        <f>SUM(F702:O702)</f>
        <v>2526</v>
      </c>
      <c r="R702" s="7"/>
      <c r="S702" s="4">
        <f>Q702*$R$17</f>
        <v>30312</v>
      </c>
      <c r="T702" s="12"/>
    </row>
    <row r="703" spans="1:20" ht="12.75" customHeight="1">
      <c r="A703" s="7">
        <f>A702+1</f>
        <v>4</v>
      </c>
      <c r="B703" s="123" t="s">
        <v>307</v>
      </c>
      <c r="C703" s="7">
        <v>1.5</v>
      </c>
      <c r="D703" s="7">
        <v>1</v>
      </c>
      <c r="E703" s="7">
        <v>1218</v>
      </c>
      <c r="F703" s="4">
        <f>E703*C703</f>
        <v>1827</v>
      </c>
      <c r="G703" s="7"/>
      <c r="H703" s="7"/>
      <c r="I703" s="7"/>
      <c r="J703" s="7"/>
      <c r="K703" s="7"/>
      <c r="L703" s="7"/>
      <c r="M703" s="7"/>
      <c r="N703" s="7"/>
      <c r="O703" s="4">
        <f>E703*C703*0.1</f>
        <v>182.70000000000002</v>
      </c>
      <c r="P703" s="4">
        <f>SUM(G703:O703)</f>
        <v>182.70000000000002</v>
      </c>
      <c r="Q703" s="4">
        <f>SUM(F703:O703)</f>
        <v>2009.7</v>
      </c>
      <c r="R703" s="7"/>
      <c r="S703" s="4">
        <f>Q703*$R$17</f>
        <v>24116.4</v>
      </c>
      <c r="T703" s="12"/>
    </row>
    <row r="704" spans="1:20" ht="12.75" customHeight="1">
      <c r="A704" s="7">
        <f>A703+1</f>
        <v>5</v>
      </c>
      <c r="B704" s="137" t="s">
        <v>436</v>
      </c>
      <c r="C704" s="7">
        <v>0.25</v>
      </c>
      <c r="D704" s="7">
        <v>4</v>
      </c>
      <c r="E704" s="7">
        <v>1243</v>
      </c>
      <c r="F704" s="44">
        <f>E704*C704</f>
        <v>310.75</v>
      </c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">
        <f>SUM(F704:O704)</f>
        <v>310.75</v>
      </c>
      <c r="R704" s="44"/>
      <c r="S704" s="44">
        <f>Q704*$R$17</f>
        <v>3729</v>
      </c>
      <c r="T704" s="12"/>
    </row>
    <row r="705" spans="1:20" ht="12.75" customHeight="1">
      <c r="A705" s="10"/>
      <c r="B705" s="68" t="s">
        <v>40</v>
      </c>
      <c r="C705" s="48">
        <f>SUM(C700:C704)</f>
        <v>5.75</v>
      </c>
      <c r="D705" s="11"/>
      <c r="E705" s="10"/>
      <c r="F705" s="22">
        <f>SUM(F700:F704)</f>
        <v>6137.75</v>
      </c>
      <c r="G705" s="22"/>
      <c r="H705" s="11"/>
      <c r="I705" s="11"/>
      <c r="J705" s="11"/>
      <c r="K705" s="11"/>
      <c r="L705" s="11"/>
      <c r="M705" s="11"/>
      <c r="N705" s="11"/>
      <c r="O705" s="11">
        <f>SUM(O700:O704)</f>
        <v>182.70000000000002</v>
      </c>
      <c r="P705" s="11">
        <f>SUM(P700:P704)</f>
        <v>1268.05</v>
      </c>
      <c r="Q705" s="11">
        <f>SUM(Q700:Q704)</f>
        <v>7405.8</v>
      </c>
      <c r="R705" s="11">
        <f>SUM(R700:R704)</f>
        <v>0</v>
      </c>
      <c r="S705" s="11">
        <f>SUM(S700:S704)</f>
        <v>88869.6</v>
      </c>
      <c r="T705" s="12"/>
    </row>
    <row r="706" spans="1:20" ht="12.75" customHeight="1">
      <c r="A706" s="10"/>
      <c r="B706" s="68" t="s">
        <v>32</v>
      </c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1">
        <v>15000</v>
      </c>
      <c r="R706" s="11">
        <v>25000</v>
      </c>
      <c r="S706" s="11">
        <f>Q706*$R$17</f>
        <v>180000</v>
      </c>
      <c r="T706" s="12"/>
    </row>
    <row r="707" spans="1:20" ht="12.75" customHeight="1">
      <c r="A707" s="157" t="s">
        <v>249</v>
      </c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1"/>
      <c r="T707" s="12"/>
    </row>
    <row r="708" spans="1:20" ht="12" customHeight="1">
      <c r="A708" s="162"/>
      <c r="B708" s="2" t="s">
        <v>531</v>
      </c>
      <c r="C708" s="3">
        <v>1</v>
      </c>
      <c r="D708" s="3">
        <v>10</v>
      </c>
      <c r="E708" s="5">
        <v>1551</v>
      </c>
      <c r="F708" s="5">
        <f aca="true" t="shared" si="75" ref="F708:F715">E708*C708</f>
        <v>1551</v>
      </c>
      <c r="G708" s="5"/>
      <c r="H708" s="5"/>
      <c r="I708" s="5"/>
      <c r="J708" s="5"/>
      <c r="K708" s="5"/>
      <c r="L708" s="5"/>
      <c r="M708" s="5"/>
      <c r="N708" s="5"/>
      <c r="O708" s="5"/>
      <c r="P708" s="4"/>
      <c r="Q708" s="4">
        <f aca="true" t="shared" si="76" ref="Q708:Q715">E708*C708+SUM(G708:O708)</f>
        <v>1551</v>
      </c>
      <c r="R708" s="3"/>
      <c r="S708" s="5">
        <f aca="true" t="shared" si="77" ref="S708:S715">Q708*$R$17</f>
        <v>18612</v>
      </c>
      <c r="T708" s="12"/>
    </row>
    <row r="709" spans="1:20" ht="12" customHeight="1">
      <c r="A709" s="180"/>
      <c r="B709" s="31" t="s">
        <v>532</v>
      </c>
      <c r="C709" s="7">
        <v>1</v>
      </c>
      <c r="D709" s="7">
        <v>9</v>
      </c>
      <c r="E709" s="4">
        <v>1474</v>
      </c>
      <c r="F709" s="4">
        <f t="shared" si="75"/>
        <v>1474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>
        <f t="shared" si="76"/>
        <v>1474</v>
      </c>
      <c r="R709" s="7"/>
      <c r="S709" s="4">
        <f t="shared" si="77"/>
        <v>17688</v>
      </c>
      <c r="T709" s="12"/>
    </row>
    <row r="710" spans="1:20" ht="12" customHeight="1">
      <c r="A710" s="180"/>
      <c r="B710" s="31" t="s">
        <v>527</v>
      </c>
      <c r="C710" s="7">
        <v>1</v>
      </c>
      <c r="D710" s="7">
        <v>4</v>
      </c>
      <c r="E710" s="4">
        <v>1243</v>
      </c>
      <c r="F710" s="4">
        <f t="shared" si="75"/>
        <v>1243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>
        <f t="shared" si="76"/>
        <v>1243</v>
      </c>
      <c r="R710" s="7"/>
      <c r="S710" s="4">
        <f t="shared" si="77"/>
        <v>14916</v>
      </c>
      <c r="T710" s="12"/>
    </row>
    <row r="711" spans="1:20" ht="12" customHeight="1">
      <c r="A711" s="180"/>
      <c r="B711" s="31" t="s">
        <v>335</v>
      </c>
      <c r="C711" s="7">
        <v>4</v>
      </c>
      <c r="D711" s="7">
        <v>3</v>
      </c>
      <c r="E711" s="4">
        <v>1233</v>
      </c>
      <c r="F711" s="4">
        <f t="shared" si="75"/>
        <v>4932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>
        <f t="shared" si="76"/>
        <v>4932</v>
      </c>
      <c r="R711" s="7"/>
      <c r="S711" s="4">
        <f t="shared" si="77"/>
        <v>59184</v>
      </c>
      <c r="T711" s="12"/>
    </row>
    <row r="712" spans="1:20" ht="12" customHeight="1">
      <c r="A712" s="180"/>
      <c r="B712" s="31" t="s">
        <v>336</v>
      </c>
      <c r="C712" s="7">
        <v>3</v>
      </c>
      <c r="D712" s="7">
        <v>3</v>
      </c>
      <c r="E712" s="4">
        <v>1233</v>
      </c>
      <c r="F712" s="4">
        <f t="shared" si="75"/>
        <v>3699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>
        <f t="shared" si="76"/>
        <v>3699</v>
      </c>
      <c r="R712" s="7"/>
      <c r="S712" s="4">
        <f t="shared" si="77"/>
        <v>44388</v>
      </c>
      <c r="T712" s="12"/>
    </row>
    <row r="713" spans="1:20" ht="12" customHeight="1">
      <c r="A713" s="180"/>
      <c r="B713" s="31" t="s">
        <v>345</v>
      </c>
      <c r="C713" s="7">
        <v>1</v>
      </c>
      <c r="D713" s="7">
        <v>1</v>
      </c>
      <c r="E713" s="4">
        <v>1218</v>
      </c>
      <c r="F713" s="7">
        <f t="shared" si="75"/>
        <v>1218</v>
      </c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4">
        <f t="shared" si="76"/>
        <v>1218</v>
      </c>
      <c r="R713" s="7"/>
      <c r="S713" s="4">
        <f t="shared" si="77"/>
        <v>14616</v>
      </c>
      <c r="T713" s="12"/>
    </row>
    <row r="714" spans="1:20" ht="12" customHeight="1">
      <c r="A714" s="180"/>
      <c r="B714" s="55" t="s">
        <v>528</v>
      </c>
      <c r="C714" s="7">
        <v>2</v>
      </c>
      <c r="D714" s="7">
        <v>3</v>
      </c>
      <c r="E714" s="4">
        <v>1233</v>
      </c>
      <c r="F714" s="4">
        <f t="shared" si="75"/>
        <v>2466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>
        <f t="shared" si="76"/>
        <v>2466</v>
      </c>
      <c r="R714" s="7"/>
      <c r="S714" s="4">
        <f t="shared" si="77"/>
        <v>29592</v>
      </c>
      <c r="T714" s="12"/>
    </row>
    <row r="715" spans="1:20" ht="24.75" customHeight="1">
      <c r="A715" s="180"/>
      <c r="B715" s="31" t="s">
        <v>529</v>
      </c>
      <c r="C715" s="7">
        <v>2</v>
      </c>
      <c r="D715" s="7">
        <v>3</v>
      </c>
      <c r="E715" s="4">
        <v>1233</v>
      </c>
      <c r="F715" s="4">
        <f t="shared" si="75"/>
        <v>2466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>
        <f t="shared" si="76"/>
        <v>2466</v>
      </c>
      <c r="R715" s="7"/>
      <c r="S715" s="4">
        <f t="shared" si="77"/>
        <v>29592</v>
      </c>
      <c r="T715" s="12"/>
    </row>
    <row r="716" spans="1:20" ht="12.75" customHeight="1">
      <c r="A716" s="10"/>
      <c r="B716" s="26" t="s">
        <v>40</v>
      </c>
      <c r="C716" s="10">
        <f>SUM(C708:C715)</f>
        <v>15</v>
      </c>
      <c r="D716" s="10"/>
      <c r="E716" s="10"/>
      <c r="F716" s="11">
        <f>SUM(F708:F715)</f>
        <v>19049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1">
        <f>SUM(Q708:Q715)</f>
        <v>19049</v>
      </c>
      <c r="R716" s="11">
        <f>SUM(R708:R715)</f>
        <v>0</v>
      </c>
      <c r="S716" s="11">
        <f>SUM(S708:S715)</f>
        <v>228588</v>
      </c>
      <c r="T716" s="12"/>
    </row>
    <row r="717" spans="1:20" ht="12" customHeight="1">
      <c r="A717" s="157" t="s">
        <v>167</v>
      </c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9"/>
      <c r="T717" s="12"/>
    </row>
    <row r="718" spans="1:20" ht="12" customHeight="1">
      <c r="A718" s="3"/>
      <c r="B718" s="2" t="s">
        <v>530</v>
      </c>
      <c r="C718" s="3">
        <v>1</v>
      </c>
      <c r="D718" s="3">
        <v>11</v>
      </c>
      <c r="E718" s="3">
        <v>1678</v>
      </c>
      <c r="F718" s="4">
        <f aca="true" t="shared" si="78" ref="F718:F727">E718*C718</f>
        <v>1678</v>
      </c>
      <c r="G718" s="3"/>
      <c r="H718" s="3"/>
      <c r="I718" s="3"/>
      <c r="J718" s="3"/>
      <c r="K718" s="3"/>
      <c r="L718" s="3"/>
      <c r="M718" s="3"/>
      <c r="N718" s="3"/>
      <c r="O718" s="3"/>
      <c r="P718" s="7"/>
      <c r="Q718" s="4">
        <f aca="true" t="shared" si="79" ref="Q718:Q727">E718*C718+SUM(G718:O718)</f>
        <v>1678</v>
      </c>
      <c r="R718" s="3"/>
      <c r="S718" s="4">
        <f aca="true" t="shared" si="80" ref="S718:S727">Q718*$R$17</f>
        <v>20136</v>
      </c>
      <c r="T718" s="12"/>
    </row>
    <row r="719" spans="1:20" ht="12" customHeight="1">
      <c r="A719" s="7"/>
      <c r="B719" s="31" t="s">
        <v>38</v>
      </c>
      <c r="C719" s="7">
        <v>1</v>
      </c>
      <c r="D719" s="7">
        <v>5</v>
      </c>
      <c r="E719" s="7">
        <v>1253</v>
      </c>
      <c r="F719" s="7">
        <f t="shared" si="78"/>
        <v>1253</v>
      </c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4">
        <f t="shared" si="79"/>
        <v>1253</v>
      </c>
      <c r="R719" s="7"/>
      <c r="S719" s="4">
        <f t="shared" si="80"/>
        <v>15036</v>
      </c>
      <c r="T719" s="12"/>
    </row>
    <row r="720" spans="1:20" ht="12" customHeight="1">
      <c r="A720" s="7"/>
      <c r="B720" s="31" t="s">
        <v>327</v>
      </c>
      <c r="C720" s="7">
        <v>1</v>
      </c>
      <c r="D720" s="7">
        <v>4</v>
      </c>
      <c r="E720" s="7">
        <v>1243</v>
      </c>
      <c r="F720" s="4">
        <f t="shared" si="78"/>
        <v>1243</v>
      </c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4">
        <f t="shared" si="79"/>
        <v>1243</v>
      </c>
      <c r="R720" s="7"/>
      <c r="S720" s="4">
        <f t="shared" si="80"/>
        <v>14916</v>
      </c>
      <c r="T720" s="12"/>
    </row>
    <row r="721" spans="1:20" ht="12" customHeight="1">
      <c r="A721" s="7"/>
      <c r="B721" s="31" t="s">
        <v>383</v>
      </c>
      <c r="C721" s="7">
        <v>1</v>
      </c>
      <c r="D721" s="7">
        <v>2</v>
      </c>
      <c r="E721" s="7">
        <v>1223</v>
      </c>
      <c r="F721" s="4">
        <f t="shared" si="78"/>
        <v>1223</v>
      </c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4">
        <f t="shared" si="79"/>
        <v>1223</v>
      </c>
      <c r="R721" s="7"/>
      <c r="S721" s="4">
        <f t="shared" si="80"/>
        <v>14676</v>
      </c>
      <c r="T721" s="12"/>
    </row>
    <row r="722" spans="1:20" ht="12" customHeight="1">
      <c r="A722" s="7"/>
      <c r="B722" s="31" t="s">
        <v>382</v>
      </c>
      <c r="C722" s="7">
        <v>1</v>
      </c>
      <c r="D722" s="7">
        <v>2</v>
      </c>
      <c r="E722" s="7">
        <v>1223</v>
      </c>
      <c r="F722" s="4">
        <f t="shared" si="78"/>
        <v>1223</v>
      </c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4">
        <f t="shared" si="79"/>
        <v>1223</v>
      </c>
      <c r="R722" s="7"/>
      <c r="S722" s="4">
        <f t="shared" si="80"/>
        <v>14676</v>
      </c>
      <c r="T722" s="12"/>
    </row>
    <row r="723" spans="1:20" ht="12" customHeight="1">
      <c r="A723" s="7"/>
      <c r="B723" s="31" t="s">
        <v>328</v>
      </c>
      <c r="C723" s="7">
        <v>3</v>
      </c>
      <c r="D723" s="7">
        <v>2</v>
      </c>
      <c r="E723" s="7">
        <v>1223</v>
      </c>
      <c r="F723" s="4">
        <f t="shared" si="78"/>
        <v>3669</v>
      </c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4">
        <f t="shared" si="79"/>
        <v>3669</v>
      </c>
      <c r="R723" s="7"/>
      <c r="S723" s="4">
        <f t="shared" si="80"/>
        <v>44028</v>
      </c>
      <c r="T723" s="12"/>
    </row>
    <row r="724" spans="1:20" ht="12" customHeight="1">
      <c r="A724" s="7"/>
      <c r="B724" s="31" t="s">
        <v>329</v>
      </c>
      <c r="C724" s="7">
        <v>1</v>
      </c>
      <c r="D724" s="7">
        <v>2</v>
      </c>
      <c r="E724" s="7">
        <v>1223</v>
      </c>
      <c r="F724" s="4">
        <f t="shared" si="78"/>
        <v>1223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4">
        <f t="shared" si="79"/>
        <v>1223</v>
      </c>
      <c r="R724" s="7"/>
      <c r="S724" s="4">
        <f t="shared" si="80"/>
        <v>14676</v>
      </c>
      <c r="T724" s="12"/>
    </row>
    <row r="725" spans="1:20" ht="12" customHeight="1">
      <c r="A725" s="7"/>
      <c r="B725" s="31" t="s">
        <v>330</v>
      </c>
      <c r="C725" s="7">
        <v>5</v>
      </c>
      <c r="D725" s="7">
        <v>2</v>
      </c>
      <c r="E725" s="7">
        <v>1223</v>
      </c>
      <c r="F725" s="4">
        <f t="shared" si="78"/>
        <v>6115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4">
        <f t="shared" si="79"/>
        <v>6115</v>
      </c>
      <c r="R725" s="7"/>
      <c r="S725" s="4">
        <f t="shared" si="80"/>
        <v>73380</v>
      </c>
      <c r="T725" s="12"/>
    </row>
    <row r="726" spans="1:20" ht="12" customHeight="1">
      <c r="A726" s="7"/>
      <c r="B726" s="31" t="s">
        <v>331</v>
      </c>
      <c r="C726" s="7">
        <v>1</v>
      </c>
      <c r="D726" s="7">
        <v>2</v>
      </c>
      <c r="E726" s="7">
        <v>1223</v>
      </c>
      <c r="F726" s="4">
        <f t="shared" si="78"/>
        <v>1223</v>
      </c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4">
        <f t="shared" si="79"/>
        <v>1223</v>
      </c>
      <c r="R726" s="7"/>
      <c r="S726" s="4">
        <f t="shared" si="80"/>
        <v>14676</v>
      </c>
      <c r="T726" s="12"/>
    </row>
    <row r="727" spans="1:20" ht="12" customHeight="1">
      <c r="A727" s="7"/>
      <c r="B727" s="31" t="s">
        <v>332</v>
      </c>
      <c r="C727" s="7">
        <v>1</v>
      </c>
      <c r="D727" s="7">
        <v>2</v>
      </c>
      <c r="E727" s="7">
        <v>1223</v>
      </c>
      <c r="F727" s="4">
        <f t="shared" si="78"/>
        <v>1223</v>
      </c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4">
        <f t="shared" si="79"/>
        <v>1223</v>
      </c>
      <c r="R727" s="7"/>
      <c r="S727" s="4">
        <f t="shared" si="80"/>
        <v>14676</v>
      </c>
      <c r="T727" s="12"/>
    </row>
    <row r="728" spans="1:20" ht="12" customHeight="1">
      <c r="A728" s="10"/>
      <c r="B728" s="26" t="s">
        <v>40</v>
      </c>
      <c r="C728" s="10">
        <f>SUM(C718:C727)</f>
        <v>16</v>
      </c>
      <c r="D728" s="10"/>
      <c r="E728" s="10"/>
      <c r="F728" s="10">
        <f>SUM(F718:F727)</f>
        <v>20073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>
        <f>SUM(Q718:Q727)</f>
        <v>20073</v>
      </c>
      <c r="R728" s="10">
        <f>SUM(R718:R727)</f>
        <v>0</v>
      </c>
      <c r="S728" s="10">
        <f>SUM(S718:S727)</f>
        <v>240876</v>
      </c>
      <c r="T728" s="12"/>
    </row>
    <row r="729" spans="1:22" ht="12" customHeight="1">
      <c r="A729" s="178" t="s">
        <v>168</v>
      </c>
      <c r="B729" s="159"/>
      <c r="C729" s="144">
        <f>C650+C681+C716+C705+C706+C698+C728</f>
        <v>476.75</v>
      </c>
      <c r="D729" s="48"/>
      <c r="E729" s="48"/>
      <c r="F729" s="11">
        <f aca="true" t="shared" si="81" ref="F729:S729">F650+F681+F716+F705+F706+F698+F728</f>
        <v>925380.25</v>
      </c>
      <c r="G729" s="11">
        <f t="shared" si="81"/>
        <v>105117</v>
      </c>
      <c r="H729" s="11">
        <f t="shared" si="81"/>
        <v>3802.9875</v>
      </c>
      <c r="I729" s="11">
        <f t="shared" si="81"/>
        <v>109138.23250000003</v>
      </c>
      <c r="J729" s="11">
        <f t="shared" si="81"/>
        <v>47982.450000000004</v>
      </c>
      <c r="K729" s="11">
        <f t="shared" si="81"/>
        <v>48981.362499999996</v>
      </c>
      <c r="L729" s="11">
        <f t="shared" si="81"/>
        <v>430.44000000000005</v>
      </c>
      <c r="M729" s="11">
        <f t="shared" si="81"/>
        <v>3281.9999999999995</v>
      </c>
      <c r="N729" s="11">
        <f t="shared" si="81"/>
        <v>423.32620000000003</v>
      </c>
      <c r="O729" s="11">
        <f t="shared" si="81"/>
        <v>2376.6</v>
      </c>
      <c r="P729" s="11">
        <f t="shared" si="81"/>
        <v>322619.7487</v>
      </c>
      <c r="Q729" s="11">
        <f t="shared" si="81"/>
        <v>1353999.9987</v>
      </c>
      <c r="R729" s="11">
        <f t="shared" si="81"/>
        <v>25000</v>
      </c>
      <c r="S729" s="11">
        <f t="shared" si="81"/>
        <v>16247999.9844</v>
      </c>
      <c r="T729" s="12"/>
      <c r="U729" s="147"/>
      <c r="V729" s="12"/>
    </row>
    <row r="730" spans="1:20" ht="12.75" customHeight="1">
      <c r="A730" s="116" t="s">
        <v>417</v>
      </c>
      <c r="B730" s="117"/>
      <c r="C730" s="22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>
        <v>80000</v>
      </c>
      <c r="R730" s="11"/>
      <c r="S730" s="4">
        <f>Q730*$R$17+490000</f>
        <v>1450000</v>
      </c>
      <c r="T730" s="12"/>
    </row>
    <row r="731" spans="1:23" ht="12.75" customHeight="1">
      <c r="A731" s="178" t="s">
        <v>480</v>
      </c>
      <c r="B731" s="182"/>
      <c r="C731" s="2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2"/>
      <c r="U731" s="12"/>
      <c r="V731" s="12"/>
      <c r="W731" s="12"/>
    </row>
    <row r="732" spans="1:21" ht="12.75" customHeight="1">
      <c r="A732" s="178" t="s">
        <v>458</v>
      </c>
      <c r="B732" s="181"/>
      <c r="C732" s="22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>
        <f>F470+F484+F532+F654+F675-4000</f>
        <v>602000</v>
      </c>
      <c r="T732" s="12"/>
      <c r="U732" s="12"/>
    </row>
    <row r="733" spans="1:23" ht="12.75" customHeight="1">
      <c r="A733" s="178" t="s">
        <v>169</v>
      </c>
      <c r="B733" s="159"/>
      <c r="C733" s="48">
        <f>SUM(C729:C729)</f>
        <v>476.75</v>
      </c>
      <c r="D733" s="11"/>
      <c r="E733" s="11"/>
      <c r="F733" s="11">
        <f>SUM(F729:F729)</f>
        <v>925380.25</v>
      </c>
      <c r="G733" s="11">
        <f>SUM(G729:G729)</f>
        <v>105117</v>
      </c>
      <c r="H733" s="11">
        <f aca="true" t="shared" si="82" ref="H733:S733">SUM(H729:H732)</f>
        <v>3802.9875</v>
      </c>
      <c r="I733" s="11">
        <f t="shared" si="82"/>
        <v>109138.23250000003</v>
      </c>
      <c r="J733" s="11">
        <f t="shared" si="82"/>
        <v>47982.450000000004</v>
      </c>
      <c r="K733" s="11">
        <f t="shared" si="82"/>
        <v>48981.362499999996</v>
      </c>
      <c r="L733" s="11">
        <f t="shared" si="82"/>
        <v>430.44000000000005</v>
      </c>
      <c r="M733" s="11">
        <f t="shared" si="82"/>
        <v>3281.9999999999995</v>
      </c>
      <c r="N733" s="11">
        <f t="shared" si="82"/>
        <v>423.32620000000003</v>
      </c>
      <c r="O733" s="11">
        <f t="shared" si="82"/>
        <v>2376.6</v>
      </c>
      <c r="P733" s="11">
        <f t="shared" si="82"/>
        <v>322619.7487</v>
      </c>
      <c r="Q733" s="11">
        <f t="shared" si="82"/>
        <v>1433999.9987</v>
      </c>
      <c r="R733" s="11">
        <f t="shared" si="82"/>
        <v>25000</v>
      </c>
      <c r="S733" s="11">
        <f t="shared" si="82"/>
        <v>18299999.9844</v>
      </c>
      <c r="T733" s="12"/>
      <c r="U733" s="12"/>
      <c r="V733" s="13"/>
      <c r="W733" s="12"/>
    </row>
    <row r="734" spans="1:23" ht="12.75" customHeight="1">
      <c r="A734" s="178" t="s">
        <v>323</v>
      </c>
      <c r="B734" s="159"/>
      <c r="C734" s="48">
        <f>C463+C733</f>
        <v>1355.05</v>
      </c>
      <c r="D734" s="11"/>
      <c r="E734" s="11"/>
      <c r="F734" s="11">
        <f aca="true" t="shared" si="83" ref="F734:S734">F463+F733</f>
        <v>2526731.85</v>
      </c>
      <c r="G734" s="11">
        <f t="shared" si="83"/>
        <v>125191</v>
      </c>
      <c r="H734" s="11">
        <f t="shared" si="83"/>
        <v>8278.212500000001</v>
      </c>
      <c r="I734" s="11">
        <f t="shared" si="83"/>
        <v>306681.52249999996</v>
      </c>
      <c r="J734" s="11">
        <f t="shared" si="83"/>
        <v>154732.52500000002</v>
      </c>
      <c r="K734" s="11">
        <f t="shared" si="83"/>
        <v>202359.6325</v>
      </c>
      <c r="L734" s="11">
        <f t="shared" si="83"/>
        <v>1933.4</v>
      </c>
      <c r="M734" s="11">
        <f t="shared" si="83"/>
        <v>15069.7</v>
      </c>
      <c r="N734" s="11">
        <f t="shared" si="83"/>
        <v>7747.3822</v>
      </c>
      <c r="O734" s="11">
        <f t="shared" si="83"/>
        <v>9912.960000000001</v>
      </c>
      <c r="P734" s="11">
        <f t="shared" si="83"/>
        <v>832991.6846999999</v>
      </c>
      <c r="Q734" s="11">
        <f t="shared" si="83"/>
        <v>3632923.5347000007</v>
      </c>
      <c r="R734" s="11">
        <f t="shared" si="83"/>
        <v>25000</v>
      </c>
      <c r="S734" s="11">
        <f t="shared" si="83"/>
        <v>45551418.016399994</v>
      </c>
      <c r="T734" s="12">
        <v>18300000</v>
      </c>
      <c r="U734" s="12">
        <f>T734-S733</f>
        <v>0.015599999576807022</v>
      </c>
      <c r="W734" s="13"/>
    </row>
    <row r="735" spans="1:20" ht="12.75" customHeight="1">
      <c r="A735" s="16"/>
      <c r="B735" s="125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12"/>
    </row>
    <row r="736" spans="1:21" ht="12.75" customHeight="1">
      <c r="A736" s="52"/>
      <c r="B736" s="51"/>
      <c r="C736" s="177" t="s">
        <v>456</v>
      </c>
      <c r="D736" s="177"/>
      <c r="E736" s="177"/>
      <c r="F736" s="16"/>
      <c r="G736" s="52"/>
      <c r="H736" s="52"/>
      <c r="I736" s="123"/>
      <c r="J736" s="123"/>
      <c r="K736" s="16" t="s">
        <v>555</v>
      </c>
      <c r="L736" s="16"/>
      <c r="M736" s="52"/>
      <c r="N736" s="52"/>
      <c r="O736" s="23"/>
      <c r="P736" s="23"/>
      <c r="Q736" s="23"/>
      <c r="R736" s="52"/>
      <c r="S736" s="23"/>
      <c r="T736" s="12">
        <v>19637500</v>
      </c>
      <c r="U736" s="12">
        <f>T736-T734</f>
        <v>1337500</v>
      </c>
    </row>
    <row r="737" spans="1:20" ht="12.75" customHeight="1">
      <c r="A737" s="52"/>
      <c r="B737" s="51"/>
      <c r="C737" s="16"/>
      <c r="D737" s="16"/>
      <c r="E737" s="16"/>
      <c r="F737" s="16"/>
      <c r="G737" s="52"/>
      <c r="H737" s="52"/>
      <c r="I737" s="123"/>
      <c r="J737" s="123"/>
      <c r="K737" s="52"/>
      <c r="L737" s="52"/>
      <c r="M737" s="52"/>
      <c r="N737" s="52"/>
      <c r="O737" s="16"/>
      <c r="P737" s="16"/>
      <c r="Q737" s="52"/>
      <c r="R737" s="52"/>
      <c r="S737" s="23"/>
      <c r="T737" s="13"/>
    </row>
    <row r="738" spans="1:20" ht="12" customHeight="1">
      <c r="A738" s="52"/>
      <c r="B738" s="51"/>
      <c r="C738" s="16" t="s">
        <v>333</v>
      </c>
      <c r="D738" s="16"/>
      <c r="E738" s="16"/>
      <c r="F738" s="16"/>
      <c r="G738" s="16"/>
      <c r="H738" s="52"/>
      <c r="I738" s="123"/>
      <c r="J738" s="123"/>
      <c r="K738" s="16" t="s">
        <v>446</v>
      </c>
      <c r="L738" s="16"/>
      <c r="M738" s="16"/>
      <c r="N738" s="16"/>
      <c r="O738" s="16"/>
      <c r="P738" s="16"/>
      <c r="Q738" s="23"/>
      <c r="R738" s="52"/>
      <c r="S738" s="138"/>
      <c r="T738" s="12"/>
    </row>
    <row r="739" spans="1:20" ht="12.75">
      <c r="A739" s="52"/>
      <c r="B739" s="51"/>
      <c r="C739" s="16"/>
      <c r="D739" s="16"/>
      <c r="E739" s="16"/>
      <c r="F739" s="16"/>
      <c r="G739" s="52"/>
      <c r="H739" s="52"/>
      <c r="I739" s="123"/>
      <c r="J739" s="123"/>
      <c r="K739" s="52"/>
      <c r="L739" s="52"/>
      <c r="M739" s="52"/>
      <c r="N739" s="52"/>
      <c r="O739" s="16"/>
      <c r="P739" s="16"/>
      <c r="Q739" s="16"/>
      <c r="R739" s="16">
        <f>1434300*6+1434300*3*1.026+1434300*3*1.068+655300</f>
        <v>18271372.6</v>
      </c>
      <c r="S739" s="16"/>
      <c r="T739" s="13"/>
    </row>
    <row r="740" spans="1:19" ht="12.75">
      <c r="A740" s="52"/>
      <c r="B740" s="51"/>
      <c r="C740" s="16" t="s">
        <v>170</v>
      </c>
      <c r="D740" s="16"/>
      <c r="E740" s="16"/>
      <c r="F740" s="16"/>
      <c r="G740" s="16"/>
      <c r="H740" s="52"/>
      <c r="I740" s="123"/>
      <c r="J740" s="123"/>
      <c r="K740" s="16" t="s">
        <v>447</v>
      </c>
      <c r="L740" s="16"/>
      <c r="M740" s="16"/>
      <c r="N740" s="16"/>
      <c r="O740" s="16"/>
      <c r="P740" s="16"/>
      <c r="Q740" s="52"/>
      <c r="R740" s="52"/>
      <c r="S740" s="23"/>
    </row>
    <row r="741" spans="1:19" ht="12.75">
      <c r="A741" s="52"/>
      <c r="B741" s="51"/>
      <c r="C741" s="52"/>
      <c r="D741" s="52"/>
      <c r="E741" s="52"/>
      <c r="F741" s="52"/>
      <c r="G741" s="23"/>
      <c r="H741" s="23"/>
      <c r="I741" s="23"/>
      <c r="J741" s="23"/>
      <c r="K741" s="23"/>
      <c r="L741" s="23"/>
      <c r="M741" s="23"/>
      <c r="N741" s="23"/>
      <c r="O741" s="23"/>
      <c r="P741" s="52"/>
      <c r="Q741" s="52"/>
      <c r="R741" s="52"/>
      <c r="S741" s="52"/>
    </row>
    <row r="742" spans="1:19" ht="12.75">
      <c r="A742" s="52"/>
      <c r="B742" s="51"/>
      <c r="C742" s="52"/>
      <c r="D742" s="52"/>
      <c r="E742" s="52"/>
      <c r="F742" s="52"/>
      <c r="G742" s="23"/>
      <c r="H742" s="23"/>
      <c r="I742" s="23"/>
      <c r="J742" s="23"/>
      <c r="K742" s="23"/>
      <c r="L742" s="23"/>
      <c r="M742" s="23"/>
      <c r="N742" s="23"/>
      <c r="O742" s="23"/>
      <c r="P742" s="52"/>
      <c r="Q742" s="23">
        <f>3569500-Q734</f>
        <v>-63423.53470000066</v>
      </c>
      <c r="R742" s="52"/>
      <c r="S742" s="52"/>
    </row>
    <row r="743" spans="1:19" ht="12.75">
      <c r="A743" s="123"/>
      <c r="B743" s="123"/>
      <c r="C743" s="123"/>
      <c r="D743" s="123" t="s">
        <v>419</v>
      </c>
      <c r="E743" s="123"/>
      <c r="F743" s="123"/>
      <c r="G743" s="123"/>
      <c r="H743" s="123"/>
      <c r="I743" s="126"/>
      <c r="J743" s="126"/>
      <c r="K743" s="123"/>
      <c r="L743" s="126"/>
      <c r="M743" s="126"/>
      <c r="N743" s="123"/>
      <c r="O743" s="123"/>
      <c r="P743" s="123"/>
      <c r="Q743" s="123"/>
      <c r="R743" s="123"/>
      <c r="S743" s="123"/>
    </row>
    <row r="744" spans="1:19" ht="12.75">
      <c r="A744" s="123"/>
      <c r="B744" s="123" t="s">
        <v>374</v>
      </c>
      <c r="C744" s="123">
        <f>SUM(C745:C748)</f>
        <v>289.3</v>
      </c>
      <c r="D744" s="123">
        <f>F744/C744</f>
        <v>2840.6864846180433</v>
      </c>
      <c r="E744" s="126"/>
      <c r="F744" s="123">
        <f aca="true" t="shared" si="84" ref="F744:S744">SUM(F745:F748)</f>
        <v>821810.6</v>
      </c>
      <c r="G744" s="123">
        <f t="shared" si="84"/>
        <v>0</v>
      </c>
      <c r="H744" s="123">
        <f t="shared" si="84"/>
        <v>4475.225</v>
      </c>
      <c r="I744" s="123">
        <f t="shared" si="84"/>
        <v>190730.99000000002</v>
      </c>
      <c r="J744" s="123">
        <f t="shared" si="84"/>
        <v>106750.075</v>
      </c>
      <c r="K744" s="123">
        <f t="shared" si="84"/>
        <v>153378.27000000002</v>
      </c>
      <c r="L744" s="123">
        <f t="shared" si="84"/>
        <v>1502.96</v>
      </c>
      <c r="M744" s="126">
        <f t="shared" si="84"/>
        <v>11787.7</v>
      </c>
      <c r="N744" s="123">
        <f t="shared" si="84"/>
        <v>0</v>
      </c>
      <c r="O744" s="123">
        <f t="shared" si="84"/>
        <v>0</v>
      </c>
      <c r="P744" s="123">
        <f t="shared" si="84"/>
        <v>468625.22</v>
      </c>
      <c r="Q744" s="123">
        <f t="shared" si="84"/>
        <v>1290435.82</v>
      </c>
      <c r="R744" s="123">
        <f t="shared" si="84"/>
        <v>12</v>
      </c>
      <c r="S744" s="123">
        <f t="shared" si="84"/>
        <v>15485229.84</v>
      </c>
    </row>
    <row r="745" spans="1:19" ht="12.75">
      <c r="A745" s="123"/>
      <c r="B745" s="123" t="s">
        <v>185</v>
      </c>
      <c r="C745" s="123">
        <f aca="true" t="shared" si="85" ref="C745:S745">C17</f>
        <v>1</v>
      </c>
      <c r="D745" s="123">
        <f t="shared" si="85"/>
        <v>24</v>
      </c>
      <c r="E745" s="123">
        <f t="shared" si="85"/>
        <v>3715</v>
      </c>
      <c r="F745" s="123">
        <f t="shared" si="85"/>
        <v>3715</v>
      </c>
      <c r="G745" s="123">
        <f t="shared" si="85"/>
        <v>0</v>
      </c>
      <c r="H745" s="123">
        <f t="shared" si="85"/>
        <v>0</v>
      </c>
      <c r="I745" s="123">
        <f t="shared" si="85"/>
        <v>1114.5</v>
      </c>
      <c r="J745" s="123">
        <f t="shared" si="85"/>
        <v>557.25</v>
      </c>
      <c r="K745" s="123">
        <f t="shared" si="85"/>
        <v>1225.95</v>
      </c>
      <c r="L745" s="123">
        <f t="shared" si="85"/>
        <v>0</v>
      </c>
      <c r="M745" s="123">
        <f t="shared" si="85"/>
        <v>0</v>
      </c>
      <c r="N745" s="123">
        <f t="shared" si="85"/>
        <v>0</v>
      </c>
      <c r="O745" s="123">
        <f t="shared" si="85"/>
        <v>0</v>
      </c>
      <c r="P745" s="123">
        <f t="shared" si="85"/>
        <v>2897.7</v>
      </c>
      <c r="Q745" s="123">
        <f t="shared" si="85"/>
        <v>6612.7</v>
      </c>
      <c r="R745" s="123">
        <f t="shared" si="85"/>
        <v>12</v>
      </c>
      <c r="S745" s="123">
        <f t="shared" si="85"/>
        <v>79352.4</v>
      </c>
    </row>
    <row r="746" spans="1:19" ht="12.75">
      <c r="A746" s="123"/>
      <c r="B746" s="123" t="s">
        <v>12</v>
      </c>
      <c r="C746" s="123">
        <f aca="true" t="shared" si="86" ref="C746:S746">SUM(C18:C20)</f>
        <v>3</v>
      </c>
      <c r="D746" s="123">
        <f t="shared" si="86"/>
        <v>0</v>
      </c>
      <c r="E746" s="123">
        <f t="shared" si="86"/>
        <v>10032</v>
      </c>
      <c r="F746" s="123">
        <f t="shared" si="86"/>
        <v>10032</v>
      </c>
      <c r="G746" s="123">
        <f t="shared" si="86"/>
        <v>0</v>
      </c>
      <c r="H746" s="123">
        <f t="shared" si="86"/>
        <v>668.8000000000001</v>
      </c>
      <c r="I746" s="123">
        <f t="shared" si="86"/>
        <v>2006.3999999999999</v>
      </c>
      <c r="J746" s="123">
        <f t="shared" si="86"/>
        <v>1672</v>
      </c>
      <c r="K746" s="123">
        <f t="shared" si="86"/>
        <v>2207.04</v>
      </c>
      <c r="L746" s="123">
        <f t="shared" si="86"/>
        <v>0</v>
      </c>
      <c r="M746" s="123">
        <f t="shared" si="86"/>
        <v>0</v>
      </c>
      <c r="N746" s="123">
        <f t="shared" si="86"/>
        <v>0</v>
      </c>
      <c r="O746" s="123">
        <f t="shared" si="86"/>
        <v>0</v>
      </c>
      <c r="P746" s="123">
        <f t="shared" si="86"/>
        <v>6554.24</v>
      </c>
      <c r="Q746" s="123">
        <f t="shared" si="86"/>
        <v>16586.239999999998</v>
      </c>
      <c r="R746" s="123">
        <f t="shared" si="86"/>
        <v>0</v>
      </c>
      <c r="S746" s="123">
        <f t="shared" si="86"/>
        <v>199034.88</v>
      </c>
    </row>
    <row r="747" spans="1:19" ht="12.75">
      <c r="A747" s="123"/>
      <c r="B747" s="123" t="s">
        <v>375</v>
      </c>
      <c r="C747" s="123">
        <f aca="true" t="shared" si="87" ref="C747:S747">SUM(C21:C22)</f>
        <v>6</v>
      </c>
      <c r="D747" s="123">
        <f t="shared" si="87"/>
        <v>42</v>
      </c>
      <c r="E747" s="123">
        <f t="shared" si="87"/>
        <v>6560</v>
      </c>
      <c r="F747" s="123">
        <f t="shared" si="87"/>
        <v>19680</v>
      </c>
      <c r="G747" s="123">
        <f t="shared" si="87"/>
        <v>0</v>
      </c>
      <c r="H747" s="123">
        <f t="shared" si="87"/>
        <v>656</v>
      </c>
      <c r="I747" s="123">
        <f t="shared" si="87"/>
        <v>5576</v>
      </c>
      <c r="J747" s="123">
        <f t="shared" si="87"/>
        <v>3608</v>
      </c>
      <c r="K747" s="123">
        <f t="shared" si="87"/>
        <v>5444.8</v>
      </c>
      <c r="L747" s="123">
        <f t="shared" si="87"/>
        <v>0</v>
      </c>
      <c r="M747" s="123">
        <f t="shared" si="87"/>
        <v>0</v>
      </c>
      <c r="N747" s="123">
        <f t="shared" si="87"/>
        <v>0</v>
      </c>
      <c r="O747" s="123">
        <f t="shared" si="87"/>
        <v>0</v>
      </c>
      <c r="P747" s="123">
        <f t="shared" si="87"/>
        <v>15284.8</v>
      </c>
      <c r="Q747" s="123">
        <f t="shared" si="87"/>
        <v>34964.8</v>
      </c>
      <c r="R747" s="123">
        <f t="shared" si="87"/>
        <v>0</v>
      </c>
      <c r="S747" s="123">
        <f t="shared" si="87"/>
        <v>419577.6</v>
      </c>
    </row>
    <row r="748" spans="1:20" ht="12.75">
      <c r="A748" s="123"/>
      <c r="B748" s="123" t="s">
        <v>254</v>
      </c>
      <c r="C748" s="127">
        <f>SUM(C749:C755)</f>
        <v>279.3</v>
      </c>
      <c r="D748" s="123">
        <f>F748/C748</f>
        <v>2822.7124955245254</v>
      </c>
      <c r="E748" s="126"/>
      <c r="F748" s="126">
        <f aca="true" t="shared" si="88" ref="F748:S748">SUM(F749:F755)</f>
        <v>788383.6</v>
      </c>
      <c r="G748" s="126">
        <f t="shared" si="88"/>
        <v>0</v>
      </c>
      <c r="H748" s="126">
        <f t="shared" si="88"/>
        <v>3150.425</v>
      </c>
      <c r="I748" s="126">
        <f t="shared" si="88"/>
        <v>182034.09000000003</v>
      </c>
      <c r="J748" s="126">
        <f t="shared" si="88"/>
        <v>100912.825</v>
      </c>
      <c r="K748" s="126">
        <f t="shared" si="88"/>
        <v>144500.48</v>
      </c>
      <c r="L748" s="126">
        <f t="shared" si="88"/>
        <v>1502.96</v>
      </c>
      <c r="M748" s="126">
        <f t="shared" si="88"/>
        <v>11787.7</v>
      </c>
      <c r="N748" s="126">
        <f t="shared" si="88"/>
        <v>0</v>
      </c>
      <c r="O748" s="126">
        <f t="shared" si="88"/>
        <v>0</v>
      </c>
      <c r="P748" s="126">
        <f t="shared" si="88"/>
        <v>443888.48</v>
      </c>
      <c r="Q748" s="126">
        <f t="shared" si="88"/>
        <v>1232272.08</v>
      </c>
      <c r="R748" s="126">
        <f t="shared" si="88"/>
        <v>0</v>
      </c>
      <c r="S748" s="126">
        <f t="shared" si="88"/>
        <v>14787264.959999999</v>
      </c>
      <c r="T748" s="12"/>
    </row>
    <row r="749" spans="1:19" ht="12.75">
      <c r="A749" s="123"/>
      <c r="B749" s="123" t="s">
        <v>377</v>
      </c>
      <c r="C749" s="126">
        <f aca="true" t="shared" si="89" ref="C749:S749">SUM(C26:C29)</f>
        <v>33</v>
      </c>
      <c r="D749" s="126">
        <f t="shared" si="89"/>
        <v>81</v>
      </c>
      <c r="E749" s="126">
        <f t="shared" si="89"/>
        <v>12038</v>
      </c>
      <c r="F749" s="126">
        <f t="shared" si="89"/>
        <v>109973</v>
      </c>
      <c r="G749" s="126">
        <f t="shared" si="89"/>
        <v>0</v>
      </c>
      <c r="H749" s="126">
        <f t="shared" si="89"/>
        <v>1312</v>
      </c>
      <c r="I749" s="126">
        <f t="shared" si="89"/>
        <v>32588.66</v>
      </c>
      <c r="J749" s="126">
        <f t="shared" si="89"/>
        <v>26363.95</v>
      </c>
      <c r="K749" s="126">
        <f t="shared" si="89"/>
        <v>35648.090000000004</v>
      </c>
      <c r="L749" s="126">
        <f t="shared" si="89"/>
        <v>190.16</v>
      </c>
      <c r="M749" s="126">
        <f t="shared" si="89"/>
        <v>0</v>
      </c>
      <c r="N749" s="126">
        <f t="shared" si="89"/>
        <v>0</v>
      </c>
      <c r="O749" s="126">
        <f t="shared" si="89"/>
        <v>0</v>
      </c>
      <c r="P749" s="126">
        <f t="shared" si="89"/>
        <v>96102.86</v>
      </c>
      <c r="Q749" s="126">
        <f t="shared" si="89"/>
        <v>206075.86</v>
      </c>
      <c r="R749" s="126">
        <f t="shared" si="89"/>
        <v>0</v>
      </c>
      <c r="S749" s="126">
        <f t="shared" si="89"/>
        <v>2472910.32</v>
      </c>
    </row>
    <row r="750" spans="1:19" ht="12.75">
      <c r="A750" s="123"/>
      <c r="B750" s="123" t="s">
        <v>378</v>
      </c>
      <c r="C750" s="128">
        <f aca="true" t="shared" si="90" ref="C750:S750">SUM(C30)</f>
        <v>6</v>
      </c>
      <c r="D750" s="126">
        <f t="shared" si="90"/>
        <v>19</v>
      </c>
      <c r="E750" s="126">
        <f t="shared" si="90"/>
        <v>2914</v>
      </c>
      <c r="F750" s="126">
        <f t="shared" si="90"/>
        <v>17484</v>
      </c>
      <c r="G750" s="126">
        <f t="shared" si="90"/>
        <v>0</v>
      </c>
      <c r="H750" s="126">
        <f t="shared" si="90"/>
        <v>0</v>
      </c>
      <c r="I750" s="126">
        <f t="shared" si="90"/>
        <v>5245.2</v>
      </c>
      <c r="J750" s="126">
        <f t="shared" si="90"/>
        <v>2622.6</v>
      </c>
      <c r="K750" s="126">
        <f t="shared" si="90"/>
        <v>4371</v>
      </c>
      <c r="L750" s="126">
        <f t="shared" si="90"/>
        <v>699.36</v>
      </c>
      <c r="M750" s="126">
        <f t="shared" si="90"/>
        <v>0</v>
      </c>
      <c r="N750" s="126">
        <f t="shared" si="90"/>
        <v>0</v>
      </c>
      <c r="O750" s="126">
        <f t="shared" si="90"/>
        <v>0</v>
      </c>
      <c r="P750" s="126">
        <f t="shared" si="90"/>
        <v>12938.16</v>
      </c>
      <c r="Q750" s="126">
        <f t="shared" si="90"/>
        <v>30422.16</v>
      </c>
      <c r="R750" s="126">
        <f t="shared" si="90"/>
        <v>0</v>
      </c>
      <c r="S750" s="126">
        <f t="shared" si="90"/>
        <v>365065.92</v>
      </c>
    </row>
    <row r="751" spans="1:19" ht="12.75">
      <c r="A751" s="123"/>
      <c r="B751" s="123" t="s">
        <v>379</v>
      </c>
      <c r="C751" s="126">
        <f aca="true" t="shared" si="91" ref="C751:S751">C31</f>
        <v>2</v>
      </c>
      <c r="D751" s="126">
        <f t="shared" si="91"/>
        <v>17</v>
      </c>
      <c r="E751" s="126">
        <f t="shared" si="91"/>
        <v>2556</v>
      </c>
      <c r="F751" s="126">
        <f t="shared" si="91"/>
        <v>5112</v>
      </c>
      <c r="G751" s="126">
        <f t="shared" si="91"/>
        <v>0</v>
      </c>
      <c r="H751" s="126">
        <f t="shared" si="91"/>
        <v>255.60000000000002</v>
      </c>
      <c r="I751" s="126">
        <f t="shared" si="91"/>
        <v>1533.6</v>
      </c>
      <c r="J751" s="126">
        <f t="shared" si="91"/>
        <v>0</v>
      </c>
      <c r="K751" s="126">
        <f t="shared" si="91"/>
        <v>0</v>
      </c>
      <c r="L751" s="126">
        <f t="shared" si="91"/>
        <v>613.4399999999999</v>
      </c>
      <c r="M751" s="126">
        <f t="shared" si="91"/>
        <v>0</v>
      </c>
      <c r="N751" s="126">
        <f t="shared" si="91"/>
        <v>0</v>
      </c>
      <c r="O751" s="126">
        <f t="shared" si="91"/>
        <v>0</v>
      </c>
      <c r="P751" s="126">
        <f t="shared" si="91"/>
        <v>2402.64</v>
      </c>
      <c r="Q751" s="126">
        <f t="shared" si="91"/>
        <v>7514.64</v>
      </c>
      <c r="R751" s="126">
        <f t="shared" si="91"/>
        <v>0</v>
      </c>
      <c r="S751" s="126">
        <f t="shared" si="91"/>
        <v>90175.68000000001</v>
      </c>
    </row>
    <row r="752" spans="1:20" ht="12.75">
      <c r="A752" s="123"/>
      <c r="B752" s="123" t="s">
        <v>298</v>
      </c>
      <c r="C752" s="126">
        <f aca="true" t="shared" si="92" ref="C752:S752">SUM(C32:C34)</f>
        <v>33.25</v>
      </c>
      <c r="D752" s="126">
        <f t="shared" si="92"/>
        <v>59</v>
      </c>
      <c r="E752" s="126">
        <f t="shared" si="92"/>
        <v>9116</v>
      </c>
      <c r="F752" s="126">
        <f t="shared" si="92"/>
        <v>100256.5</v>
      </c>
      <c r="G752" s="126">
        <f t="shared" si="92"/>
        <v>0</v>
      </c>
      <c r="H752" s="126">
        <f t="shared" si="92"/>
        <v>0</v>
      </c>
      <c r="I752" s="126">
        <f t="shared" si="92"/>
        <v>25633.100000000002</v>
      </c>
      <c r="J752" s="126">
        <f t="shared" si="92"/>
        <v>19457.4</v>
      </c>
      <c r="K752" s="126">
        <f t="shared" si="92"/>
        <v>24710.64</v>
      </c>
      <c r="L752" s="126">
        <f t="shared" si="92"/>
        <v>0</v>
      </c>
      <c r="M752" s="126">
        <f t="shared" si="92"/>
        <v>0</v>
      </c>
      <c r="N752" s="126">
        <f t="shared" si="92"/>
        <v>0</v>
      </c>
      <c r="O752" s="126">
        <f t="shared" si="92"/>
        <v>0</v>
      </c>
      <c r="P752" s="126">
        <f t="shared" si="92"/>
        <v>69801.14000000001</v>
      </c>
      <c r="Q752" s="126">
        <f t="shared" si="92"/>
        <v>170057.64</v>
      </c>
      <c r="R752" s="126">
        <f t="shared" si="92"/>
        <v>0</v>
      </c>
      <c r="S752" s="126">
        <f t="shared" si="92"/>
        <v>2040691.6800000002</v>
      </c>
      <c r="T752" s="126"/>
    </row>
    <row r="753" spans="1:19" ht="12.75">
      <c r="A753" s="123"/>
      <c r="B753" s="123" t="s">
        <v>299</v>
      </c>
      <c r="C753" s="128">
        <f aca="true" t="shared" si="93" ref="C753:S753">SUM(C35:C39)</f>
        <v>138</v>
      </c>
      <c r="D753" s="126">
        <f t="shared" si="93"/>
        <v>90</v>
      </c>
      <c r="E753" s="126">
        <f t="shared" si="93"/>
        <v>13675</v>
      </c>
      <c r="F753" s="126">
        <f t="shared" si="93"/>
        <v>390541.75</v>
      </c>
      <c r="G753" s="126">
        <f t="shared" si="93"/>
        <v>0</v>
      </c>
      <c r="H753" s="126">
        <f t="shared" si="93"/>
        <v>582.8000000000001</v>
      </c>
      <c r="I753" s="126">
        <f t="shared" si="93"/>
        <v>89102.12499999999</v>
      </c>
      <c r="J753" s="126">
        <f t="shared" si="93"/>
        <v>52023.1875</v>
      </c>
      <c r="K753" s="126">
        <f t="shared" si="93"/>
        <v>79770.75</v>
      </c>
      <c r="L753" s="126">
        <f t="shared" si="93"/>
        <v>0</v>
      </c>
      <c r="M753" s="126">
        <f t="shared" si="93"/>
        <v>9541</v>
      </c>
      <c r="N753" s="126">
        <f t="shared" si="93"/>
        <v>0</v>
      </c>
      <c r="O753" s="126">
        <f t="shared" si="93"/>
        <v>0</v>
      </c>
      <c r="P753" s="126">
        <f t="shared" si="93"/>
        <v>231019.8625</v>
      </c>
      <c r="Q753" s="126">
        <f t="shared" si="93"/>
        <v>621561.6124999999</v>
      </c>
      <c r="R753" s="126">
        <f t="shared" si="93"/>
        <v>0</v>
      </c>
      <c r="S753" s="126">
        <f t="shared" si="93"/>
        <v>7458739.35</v>
      </c>
    </row>
    <row r="754" spans="1:19" ht="12.75">
      <c r="A754" s="123"/>
      <c r="B754" s="123" t="s">
        <v>300</v>
      </c>
      <c r="C754" s="126">
        <f aca="true" t="shared" si="94" ref="C754:S754">SUM(C40:C42)</f>
        <v>31.5</v>
      </c>
      <c r="D754" s="126">
        <f t="shared" si="94"/>
        <v>51</v>
      </c>
      <c r="E754" s="126">
        <f t="shared" si="94"/>
        <v>7668</v>
      </c>
      <c r="F754" s="126">
        <f t="shared" si="94"/>
        <v>80514</v>
      </c>
      <c r="G754" s="126">
        <f t="shared" si="94"/>
        <v>0</v>
      </c>
      <c r="H754" s="126">
        <f t="shared" si="94"/>
        <v>702.9000000000001</v>
      </c>
      <c r="I754" s="126">
        <f t="shared" si="94"/>
        <v>16179.920000000002</v>
      </c>
      <c r="J754" s="126">
        <f t="shared" si="94"/>
        <v>0</v>
      </c>
      <c r="K754" s="126">
        <f t="shared" si="94"/>
        <v>0</v>
      </c>
      <c r="L754" s="126">
        <f t="shared" si="94"/>
        <v>0</v>
      </c>
      <c r="M754" s="126">
        <f t="shared" si="94"/>
        <v>1533.6</v>
      </c>
      <c r="N754" s="126">
        <f t="shared" si="94"/>
        <v>0</v>
      </c>
      <c r="O754" s="126">
        <f t="shared" si="94"/>
        <v>0</v>
      </c>
      <c r="P754" s="126">
        <f t="shared" si="94"/>
        <v>18416.42</v>
      </c>
      <c r="Q754" s="126">
        <f t="shared" si="94"/>
        <v>98930.42000000001</v>
      </c>
      <c r="R754" s="126">
        <f t="shared" si="94"/>
        <v>0</v>
      </c>
      <c r="S754" s="126">
        <f t="shared" si="94"/>
        <v>1187165.04</v>
      </c>
    </row>
    <row r="755" spans="1:19" ht="12.75">
      <c r="A755" s="123"/>
      <c r="B755" s="123" t="s">
        <v>301</v>
      </c>
      <c r="C755" s="126">
        <f aca="true" t="shared" si="95" ref="C755:S755">SUM(C43:C45)</f>
        <v>35.55</v>
      </c>
      <c r="D755" s="126">
        <f t="shared" si="95"/>
        <v>48</v>
      </c>
      <c r="E755" s="126">
        <f t="shared" si="95"/>
        <v>7131</v>
      </c>
      <c r="F755" s="126">
        <f t="shared" si="95"/>
        <v>84502.35</v>
      </c>
      <c r="G755" s="126">
        <f t="shared" si="95"/>
        <v>0</v>
      </c>
      <c r="H755" s="126">
        <f t="shared" si="95"/>
        <v>297.125</v>
      </c>
      <c r="I755" s="126">
        <f t="shared" si="95"/>
        <v>11751.485000000002</v>
      </c>
      <c r="J755" s="126">
        <f t="shared" si="95"/>
        <v>445.6875</v>
      </c>
      <c r="K755" s="126">
        <f t="shared" si="95"/>
        <v>0</v>
      </c>
      <c r="L755" s="126">
        <f t="shared" si="95"/>
        <v>0</v>
      </c>
      <c r="M755" s="126">
        <f t="shared" si="95"/>
        <v>713.1</v>
      </c>
      <c r="N755" s="126">
        <f t="shared" si="95"/>
        <v>0</v>
      </c>
      <c r="O755" s="126">
        <f t="shared" si="95"/>
        <v>0</v>
      </c>
      <c r="P755" s="126">
        <f t="shared" si="95"/>
        <v>13207.397500000003</v>
      </c>
      <c r="Q755" s="126">
        <f t="shared" si="95"/>
        <v>97709.7475</v>
      </c>
      <c r="R755" s="126">
        <f t="shared" si="95"/>
        <v>0</v>
      </c>
      <c r="S755" s="126">
        <f t="shared" si="95"/>
        <v>1172516.97</v>
      </c>
    </row>
    <row r="756" spans="1:19" ht="12.75">
      <c r="A756" s="123"/>
      <c r="B756" s="123"/>
      <c r="C756" s="123"/>
      <c r="D756" s="123"/>
      <c r="E756" s="126"/>
      <c r="F756" s="123"/>
      <c r="G756" s="123"/>
      <c r="H756" s="126"/>
      <c r="I756" s="123"/>
      <c r="J756" s="123"/>
      <c r="K756" s="123"/>
      <c r="L756" s="123"/>
      <c r="M756" s="123"/>
      <c r="N756" s="123"/>
      <c r="O756" s="123"/>
      <c r="P756" s="127"/>
      <c r="Q756" s="126"/>
      <c r="R756" s="123"/>
      <c r="S756" s="126"/>
    </row>
    <row r="757" spans="1:19" ht="12.75">
      <c r="A757" s="123"/>
      <c r="B757" s="123" t="s">
        <v>380</v>
      </c>
      <c r="C757" s="127">
        <f>C50</f>
        <v>2</v>
      </c>
      <c r="D757" s="123">
        <f>F757/C757</f>
        <v>2027.5</v>
      </c>
      <c r="E757" s="127"/>
      <c r="F757" s="127">
        <f aca="true" t="shared" si="96" ref="F757:S757">F50</f>
        <v>4055</v>
      </c>
      <c r="G757" s="127">
        <f t="shared" si="96"/>
        <v>0</v>
      </c>
      <c r="H757" s="127">
        <f t="shared" si="96"/>
        <v>0</v>
      </c>
      <c r="I757" s="127">
        <f t="shared" si="96"/>
        <v>0</v>
      </c>
      <c r="J757" s="127">
        <f t="shared" si="96"/>
        <v>0</v>
      </c>
      <c r="K757" s="127">
        <f t="shared" si="96"/>
        <v>0</v>
      </c>
      <c r="L757" s="127">
        <f t="shared" si="96"/>
        <v>0</v>
      </c>
      <c r="M757" s="127">
        <f t="shared" si="96"/>
        <v>0</v>
      </c>
      <c r="N757" s="127">
        <f t="shared" si="96"/>
        <v>0</v>
      </c>
      <c r="O757" s="127">
        <f t="shared" si="96"/>
        <v>0</v>
      </c>
      <c r="P757" s="127">
        <f t="shared" si="96"/>
        <v>0</v>
      </c>
      <c r="Q757" s="127">
        <f t="shared" si="96"/>
        <v>4055</v>
      </c>
      <c r="R757" s="127">
        <f t="shared" si="96"/>
        <v>0</v>
      </c>
      <c r="S757" s="127">
        <f t="shared" si="96"/>
        <v>48660</v>
      </c>
    </row>
    <row r="758" spans="1:19" ht="12.75">
      <c r="A758" s="123"/>
      <c r="B758" s="123" t="s">
        <v>250</v>
      </c>
      <c r="C758" s="127">
        <f>C291+C300+C310+C313+C316+C320+SUM(C322:C326)+C340+C347+C352+C361+C366+C377+C379+C380+C384+C385+SUM(C408:C412)+C425+C430+C431+C432+C438+C449+C441</f>
        <v>304.5</v>
      </c>
      <c r="D758" s="123">
        <f>F758/C758</f>
        <v>1387.4909688013136</v>
      </c>
      <c r="E758" s="127"/>
      <c r="F758" s="127">
        <f aca="true" t="shared" si="97" ref="F758:S758">F291+F300+F310+F313+F316+F320+SUM(F322:F326)+F340+F347+F352+F361+F366+F377+F379+F380+F384+F385+SUM(F408:F412)+F425+F430+F431+F432+F438+F449+F441</f>
        <v>422491</v>
      </c>
      <c r="G758" s="127">
        <f t="shared" si="97"/>
        <v>0</v>
      </c>
      <c r="H758" s="127">
        <f t="shared" si="97"/>
        <v>0</v>
      </c>
      <c r="I758" s="127">
        <f t="shared" si="97"/>
        <v>852</v>
      </c>
      <c r="J758" s="127">
        <f t="shared" si="97"/>
        <v>0</v>
      </c>
      <c r="K758" s="127">
        <f t="shared" si="97"/>
        <v>0</v>
      </c>
      <c r="L758" s="127">
        <f t="shared" si="97"/>
        <v>0</v>
      </c>
      <c r="M758" s="127">
        <f t="shared" si="97"/>
        <v>0</v>
      </c>
      <c r="N758" s="127">
        <f t="shared" si="97"/>
        <v>352.224</v>
      </c>
      <c r="O758" s="127">
        <f t="shared" si="97"/>
        <v>959.16</v>
      </c>
      <c r="P758" s="127">
        <f t="shared" si="97"/>
        <v>2163.384</v>
      </c>
      <c r="Q758" s="127">
        <f t="shared" si="97"/>
        <v>424654.38399999996</v>
      </c>
      <c r="R758" s="127">
        <f t="shared" si="97"/>
        <v>0</v>
      </c>
      <c r="S758" s="127">
        <f t="shared" si="97"/>
        <v>5095852.608</v>
      </c>
    </row>
    <row r="759" spans="1:19" ht="12.75">
      <c r="A759" s="123"/>
      <c r="B759" s="123" t="s">
        <v>469</v>
      </c>
      <c r="C759" s="127">
        <f>C406</f>
        <v>26</v>
      </c>
      <c r="D759" s="123">
        <f>F759/C759</f>
        <v>1544.1538461538462</v>
      </c>
      <c r="E759" s="127"/>
      <c r="F759" s="127">
        <f aca="true" t="shared" si="98" ref="F759:S759">F406</f>
        <v>40148</v>
      </c>
      <c r="G759" s="127">
        <f t="shared" si="98"/>
        <v>20074</v>
      </c>
      <c r="H759" s="127">
        <f t="shared" si="98"/>
        <v>0</v>
      </c>
      <c r="I759" s="127">
        <f t="shared" si="98"/>
        <v>5960.3</v>
      </c>
      <c r="J759" s="127">
        <f t="shared" si="98"/>
        <v>0</v>
      </c>
      <c r="K759" s="127">
        <f t="shared" si="98"/>
        <v>0</v>
      </c>
      <c r="L759" s="127">
        <f t="shared" si="98"/>
        <v>0</v>
      </c>
      <c r="M759" s="127">
        <f t="shared" si="98"/>
        <v>0</v>
      </c>
      <c r="N759" s="127">
        <f t="shared" si="98"/>
        <v>0</v>
      </c>
      <c r="O759" s="127">
        <f t="shared" si="98"/>
        <v>0</v>
      </c>
      <c r="P759" s="127">
        <f t="shared" si="98"/>
        <v>26034.3</v>
      </c>
      <c r="Q759" s="127">
        <f t="shared" si="98"/>
        <v>66182.3</v>
      </c>
      <c r="R759" s="127">
        <f t="shared" si="98"/>
        <v>0</v>
      </c>
      <c r="S759" s="127">
        <f t="shared" si="98"/>
        <v>794187.6000000001</v>
      </c>
    </row>
    <row r="760" spans="1:20" ht="12.75">
      <c r="A760" s="123"/>
      <c r="B760" s="123" t="s">
        <v>253</v>
      </c>
      <c r="C760" s="123">
        <f>SUM(C328:C333)+C381+SUM(C387:C392)+SUM(C413:C422)+C426+C427+C433+C452+C455</f>
        <v>256.5</v>
      </c>
      <c r="D760" s="123">
        <f>F760/C760</f>
        <v>1219.6764132553606</v>
      </c>
      <c r="E760" s="126"/>
      <c r="F760" s="123">
        <f aca="true" t="shared" si="99" ref="F760:S760">SUM(F328:F333)+F381+SUM(F387:F392)+SUM(F413:F422)+F426+F427+F433+F452+F455</f>
        <v>312847</v>
      </c>
      <c r="G760" s="123">
        <f t="shared" si="99"/>
        <v>0</v>
      </c>
      <c r="H760" s="123">
        <f t="shared" si="99"/>
        <v>0</v>
      </c>
      <c r="I760" s="123">
        <f t="shared" si="99"/>
        <v>0</v>
      </c>
      <c r="J760" s="123">
        <f t="shared" si="99"/>
        <v>0</v>
      </c>
      <c r="K760" s="123">
        <f t="shared" si="99"/>
        <v>0</v>
      </c>
      <c r="L760" s="123">
        <f t="shared" si="99"/>
        <v>0</v>
      </c>
      <c r="M760" s="123">
        <f t="shared" si="99"/>
        <v>0</v>
      </c>
      <c r="N760" s="123">
        <f t="shared" si="99"/>
        <v>6971.831999999999</v>
      </c>
      <c r="O760" s="123">
        <f t="shared" si="99"/>
        <v>6577.200000000001</v>
      </c>
      <c r="P760" s="123">
        <f t="shared" si="99"/>
        <v>13549.032</v>
      </c>
      <c r="Q760" s="126">
        <f t="shared" si="99"/>
        <v>326396.032</v>
      </c>
      <c r="R760" s="123">
        <f t="shared" si="99"/>
        <v>0</v>
      </c>
      <c r="S760" s="126">
        <f t="shared" si="99"/>
        <v>3916752.3839999996</v>
      </c>
      <c r="T760" s="12">
        <f>S758+S760</f>
        <v>9012604.991999999</v>
      </c>
    </row>
    <row r="761" spans="1:20" ht="12.75">
      <c r="A761" s="123"/>
      <c r="B761" s="123" t="s">
        <v>255</v>
      </c>
      <c r="C761" s="127">
        <f>SUM(C745:C748)+C757+C758+C759+C760</f>
        <v>878.3</v>
      </c>
      <c r="D761" s="123">
        <f>F761/C761</f>
        <v>1823.239895252192</v>
      </c>
      <c r="E761" s="127"/>
      <c r="F761" s="126">
        <f aca="true" t="shared" si="100" ref="F761:S761">SUM(F745:F748)+F757+F758+F759+F760</f>
        <v>1601351.6</v>
      </c>
      <c r="G761" s="126">
        <f t="shared" si="100"/>
        <v>20074</v>
      </c>
      <c r="H761" s="126">
        <f t="shared" si="100"/>
        <v>4475.225</v>
      </c>
      <c r="I761" s="126">
        <f t="shared" si="100"/>
        <v>197543.29</v>
      </c>
      <c r="J761" s="126">
        <f t="shared" si="100"/>
        <v>106750.075</v>
      </c>
      <c r="K761" s="126">
        <f t="shared" si="100"/>
        <v>153378.27000000002</v>
      </c>
      <c r="L761" s="126">
        <f t="shared" si="100"/>
        <v>1502.96</v>
      </c>
      <c r="M761" s="126">
        <f t="shared" si="100"/>
        <v>11787.7</v>
      </c>
      <c r="N761" s="126">
        <f t="shared" si="100"/>
        <v>7324.056</v>
      </c>
      <c r="O761" s="126">
        <f t="shared" si="100"/>
        <v>7536.360000000001</v>
      </c>
      <c r="P761" s="126">
        <f t="shared" si="100"/>
        <v>510371.936</v>
      </c>
      <c r="Q761" s="126">
        <f t="shared" si="100"/>
        <v>2111723.536</v>
      </c>
      <c r="R761" s="126">
        <f t="shared" si="100"/>
        <v>12</v>
      </c>
      <c r="S761" s="126">
        <f t="shared" si="100"/>
        <v>25340682.432</v>
      </c>
      <c r="T761" s="12"/>
    </row>
    <row r="762" spans="1:19" ht="12.75">
      <c r="A762" s="123"/>
      <c r="B762" s="123"/>
      <c r="C762" s="123"/>
      <c r="D762" s="123"/>
      <c r="E762" s="126"/>
      <c r="F762" s="127"/>
      <c r="G762" s="126"/>
      <c r="H762" s="126"/>
      <c r="I762" s="126"/>
      <c r="J762" s="126"/>
      <c r="K762" s="126"/>
      <c r="L762" s="126">
        <f>L763+M763</f>
        <v>0</v>
      </c>
      <c r="M762" s="126"/>
      <c r="N762" s="126"/>
      <c r="O762" s="126"/>
      <c r="P762" s="126"/>
      <c r="Q762" s="126"/>
      <c r="R762" s="126"/>
      <c r="S762" s="126"/>
    </row>
    <row r="763" spans="1:19" ht="12.75">
      <c r="A763" s="123"/>
      <c r="B763" s="123" t="s">
        <v>376</v>
      </c>
      <c r="C763" s="123"/>
      <c r="D763" s="123"/>
      <c r="E763" s="126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</row>
    <row r="764" spans="1:20" ht="12.75">
      <c r="A764" s="123"/>
      <c r="B764" s="123" t="s">
        <v>302</v>
      </c>
      <c r="C764" s="123"/>
      <c r="D764" s="123"/>
      <c r="E764" s="126"/>
      <c r="F764" s="123"/>
      <c r="G764" s="123"/>
      <c r="H764" s="123"/>
      <c r="I764" s="126"/>
      <c r="J764" s="126"/>
      <c r="K764" s="123"/>
      <c r="L764" s="123"/>
      <c r="M764" s="123"/>
      <c r="N764" s="123"/>
      <c r="O764" s="123"/>
      <c r="P764" s="123"/>
      <c r="Q764" s="126">
        <f>Q485+Q680+Q706+Q697</f>
        <v>106000</v>
      </c>
      <c r="R764" s="126">
        <f>R485+R680+R706+R698</f>
        <v>25000</v>
      </c>
      <c r="S764" s="126">
        <f>S485+S680+S706+S697</f>
        <v>1272000</v>
      </c>
      <c r="T764" s="13"/>
    </row>
    <row r="765" spans="1:20" ht="12.75">
      <c r="A765" s="123"/>
      <c r="B765" s="123"/>
      <c r="C765" s="128">
        <f>SUM(C766:C768)</f>
        <v>241</v>
      </c>
      <c r="D765" s="123">
        <f aca="true" t="shared" si="101" ref="D765:D772">F765/C765</f>
        <v>2587.066390041494</v>
      </c>
      <c r="E765" s="126"/>
      <c r="F765" s="123">
        <f aca="true" t="shared" si="102" ref="F765:S765">SUM(F766:F768)</f>
        <v>623483</v>
      </c>
      <c r="G765" s="126">
        <f t="shared" si="102"/>
        <v>11105.5</v>
      </c>
      <c r="H765" s="126">
        <f t="shared" si="102"/>
        <v>3802.9875</v>
      </c>
      <c r="I765" s="126">
        <f t="shared" si="102"/>
        <v>107300.1325</v>
      </c>
      <c r="J765" s="126">
        <f t="shared" si="102"/>
        <v>47982.450000000004</v>
      </c>
      <c r="K765" s="126">
        <f t="shared" si="102"/>
        <v>48981.362499999996</v>
      </c>
      <c r="L765" s="126">
        <f t="shared" si="102"/>
        <v>430.44000000000005</v>
      </c>
      <c r="M765" s="126">
        <f t="shared" si="102"/>
        <v>4367.35</v>
      </c>
      <c r="N765" s="126">
        <f t="shared" si="102"/>
        <v>0</v>
      </c>
      <c r="O765" s="123">
        <f t="shared" si="102"/>
        <v>0</v>
      </c>
      <c r="P765" s="123">
        <f t="shared" si="102"/>
        <v>223970.22249999997</v>
      </c>
      <c r="Q765" s="126">
        <f t="shared" si="102"/>
        <v>847453.2224999999</v>
      </c>
      <c r="R765" s="123">
        <f t="shared" si="102"/>
        <v>0</v>
      </c>
      <c r="S765" s="126">
        <f t="shared" si="102"/>
        <v>10169438.670000002</v>
      </c>
      <c r="T765" s="13"/>
    </row>
    <row r="766" spans="1:19" ht="12.75">
      <c r="A766" s="123"/>
      <c r="B766" s="123" t="s">
        <v>284</v>
      </c>
      <c r="C766" s="128">
        <f>C466+C467+C468+C469</f>
        <v>2</v>
      </c>
      <c r="D766" s="123">
        <f t="shared" si="101"/>
        <v>3344</v>
      </c>
      <c r="E766" s="126"/>
      <c r="F766" s="123">
        <f aca="true" t="shared" si="103" ref="F766:S766">F466+F467+F468+F469</f>
        <v>6688</v>
      </c>
      <c r="G766" s="123">
        <f t="shared" si="103"/>
        <v>10121.5</v>
      </c>
      <c r="H766" s="123">
        <f t="shared" si="103"/>
        <v>668.8000000000001</v>
      </c>
      <c r="I766" s="123">
        <f t="shared" si="103"/>
        <v>1337.6</v>
      </c>
      <c r="J766" s="123">
        <f t="shared" si="103"/>
        <v>1672</v>
      </c>
      <c r="K766" s="123">
        <f t="shared" si="103"/>
        <v>1939.52</v>
      </c>
      <c r="L766" s="123">
        <f t="shared" si="103"/>
        <v>0</v>
      </c>
      <c r="M766" s="123">
        <f t="shared" si="103"/>
        <v>0</v>
      </c>
      <c r="N766" s="123">
        <f t="shared" si="103"/>
        <v>0</v>
      </c>
      <c r="O766" s="123">
        <f t="shared" si="103"/>
        <v>0</v>
      </c>
      <c r="P766" s="123">
        <f t="shared" si="103"/>
        <v>15739.42</v>
      </c>
      <c r="Q766" s="126">
        <f t="shared" si="103"/>
        <v>22427.42</v>
      </c>
      <c r="R766" s="123">
        <f t="shared" si="103"/>
        <v>0</v>
      </c>
      <c r="S766" s="126">
        <f t="shared" si="103"/>
        <v>269129.04</v>
      </c>
    </row>
    <row r="767" spans="1:23" ht="12.75">
      <c r="A767" s="123"/>
      <c r="B767" s="123" t="s">
        <v>285</v>
      </c>
      <c r="C767" s="128">
        <f>C654+C700+C683</f>
        <v>3</v>
      </c>
      <c r="D767" s="123">
        <f t="shared" si="101"/>
        <v>2186.6666666666665</v>
      </c>
      <c r="E767" s="128"/>
      <c r="F767" s="126">
        <f aca="true" t="shared" si="104" ref="F767:S767">F654+F700+F683</f>
        <v>6560</v>
      </c>
      <c r="G767" s="126">
        <f t="shared" si="104"/>
        <v>984</v>
      </c>
      <c r="H767" s="126">
        <f t="shared" si="104"/>
        <v>0</v>
      </c>
      <c r="I767" s="126">
        <f t="shared" si="104"/>
        <v>1968</v>
      </c>
      <c r="J767" s="126">
        <f t="shared" si="104"/>
        <v>492</v>
      </c>
      <c r="K767" s="126">
        <f t="shared" si="104"/>
        <v>1640</v>
      </c>
      <c r="L767" s="126">
        <f t="shared" si="104"/>
        <v>0</v>
      </c>
      <c r="M767" s="126">
        <f t="shared" si="104"/>
        <v>1085.35</v>
      </c>
      <c r="N767" s="126">
        <f t="shared" si="104"/>
        <v>0</v>
      </c>
      <c r="O767" s="126">
        <f t="shared" si="104"/>
        <v>0</v>
      </c>
      <c r="P767" s="126">
        <f t="shared" si="104"/>
        <v>6169.35</v>
      </c>
      <c r="Q767" s="126">
        <f t="shared" si="104"/>
        <v>12729.35</v>
      </c>
      <c r="R767" s="126">
        <f t="shared" si="104"/>
        <v>0</v>
      </c>
      <c r="S767" s="126">
        <f t="shared" si="104"/>
        <v>152752.2</v>
      </c>
      <c r="U767" s="12"/>
      <c r="V767" s="12"/>
      <c r="W767" s="12"/>
    </row>
    <row r="768" spans="1:19" ht="12.75">
      <c r="A768" s="123"/>
      <c r="B768" s="123" t="s">
        <v>254</v>
      </c>
      <c r="C768" s="128">
        <f>SUM(C769:C772)</f>
        <v>236</v>
      </c>
      <c r="D768" s="123">
        <f t="shared" si="101"/>
        <v>2585.741525423729</v>
      </c>
      <c r="E768" s="128"/>
      <c r="F768" s="126">
        <f aca="true" t="shared" si="105" ref="F768:S768">SUM(F769:F772)</f>
        <v>610235</v>
      </c>
      <c r="G768" s="126">
        <f t="shared" si="105"/>
        <v>0</v>
      </c>
      <c r="H768" s="126">
        <f t="shared" si="105"/>
        <v>3134.1875</v>
      </c>
      <c r="I768" s="126">
        <f t="shared" si="105"/>
        <v>103994.5325</v>
      </c>
      <c r="J768" s="126">
        <f t="shared" si="105"/>
        <v>45818.450000000004</v>
      </c>
      <c r="K768" s="126">
        <f t="shared" si="105"/>
        <v>45401.8425</v>
      </c>
      <c r="L768" s="126">
        <f t="shared" si="105"/>
        <v>430.44000000000005</v>
      </c>
      <c r="M768" s="126">
        <f t="shared" si="105"/>
        <v>3282</v>
      </c>
      <c r="N768" s="126">
        <f t="shared" si="105"/>
        <v>0</v>
      </c>
      <c r="O768" s="126">
        <f t="shared" si="105"/>
        <v>0</v>
      </c>
      <c r="P768" s="126">
        <f t="shared" si="105"/>
        <v>202061.45249999998</v>
      </c>
      <c r="Q768" s="126">
        <f t="shared" si="105"/>
        <v>812296.4524999999</v>
      </c>
      <c r="R768" s="126">
        <f t="shared" si="105"/>
        <v>0</v>
      </c>
      <c r="S768" s="126">
        <f t="shared" si="105"/>
        <v>9747557.430000002</v>
      </c>
    </row>
    <row r="769" spans="1:19" ht="12.75">
      <c r="A769" s="123"/>
      <c r="B769" s="123" t="s">
        <v>298</v>
      </c>
      <c r="C769" s="128">
        <f>C472++C691</f>
        <v>5.75</v>
      </c>
      <c r="D769" s="123">
        <f t="shared" si="101"/>
        <v>3068.478260869565</v>
      </c>
      <c r="E769" s="128"/>
      <c r="F769" s="126">
        <f aca="true" t="shared" si="106" ref="F769:S769">F472++F691</f>
        <v>17643.75</v>
      </c>
      <c r="G769" s="126">
        <f t="shared" si="106"/>
        <v>0</v>
      </c>
      <c r="H769" s="126">
        <f t="shared" si="106"/>
        <v>775.25</v>
      </c>
      <c r="I769" s="126">
        <f t="shared" si="106"/>
        <v>5293.125</v>
      </c>
      <c r="J769" s="126">
        <f t="shared" si="106"/>
        <v>4410.9375</v>
      </c>
      <c r="K769" s="126">
        <f t="shared" si="106"/>
        <v>5297.9175000000005</v>
      </c>
      <c r="L769" s="126">
        <f t="shared" si="106"/>
        <v>0</v>
      </c>
      <c r="M769" s="126">
        <f t="shared" si="106"/>
        <v>0</v>
      </c>
      <c r="N769" s="126">
        <f t="shared" si="106"/>
        <v>0</v>
      </c>
      <c r="O769" s="126">
        <f t="shared" si="106"/>
        <v>0</v>
      </c>
      <c r="P769" s="126">
        <f t="shared" si="106"/>
        <v>15777.23</v>
      </c>
      <c r="Q769" s="126">
        <f t="shared" si="106"/>
        <v>33420.979999999996</v>
      </c>
      <c r="R769" s="126">
        <f t="shared" si="106"/>
        <v>0</v>
      </c>
      <c r="S769" s="126">
        <f t="shared" si="106"/>
        <v>401051.76</v>
      </c>
    </row>
    <row r="770" spans="1:20" ht="12.75">
      <c r="A770" s="123"/>
      <c r="B770" s="123" t="s">
        <v>299</v>
      </c>
      <c r="C770" s="128">
        <f>SUM(C473:C476)+C673+C690+C692</f>
        <v>105</v>
      </c>
      <c r="D770" s="123">
        <f t="shared" si="101"/>
        <v>2712.4119047619047</v>
      </c>
      <c r="E770" s="126"/>
      <c r="F770" s="126">
        <f aca="true" t="shared" si="107" ref="F770:S770">SUM(F473:F476)+F673+F690+F692</f>
        <v>284803.25</v>
      </c>
      <c r="G770" s="126">
        <f t="shared" si="107"/>
        <v>0</v>
      </c>
      <c r="H770" s="126">
        <f t="shared" si="107"/>
        <v>1311.3000000000002</v>
      </c>
      <c r="I770" s="126">
        <f t="shared" si="107"/>
        <v>54079.8325</v>
      </c>
      <c r="J770" s="126">
        <f t="shared" si="107"/>
        <v>39776.1875</v>
      </c>
      <c r="K770" s="126">
        <f t="shared" si="107"/>
        <v>40103.924999999996</v>
      </c>
      <c r="L770" s="126">
        <f t="shared" si="107"/>
        <v>174.84</v>
      </c>
      <c r="M770" s="126">
        <f t="shared" si="107"/>
        <v>1748.3999999999999</v>
      </c>
      <c r="N770" s="126">
        <f t="shared" si="107"/>
        <v>0</v>
      </c>
      <c r="O770" s="126">
        <f t="shared" si="107"/>
        <v>0</v>
      </c>
      <c r="P770" s="126">
        <f t="shared" si="107"/>
        <v>137194.485</v>
      </c>
      <c r="Q770" s="126">
        <f t="shared" si="107"/>
        <v>421997.735</v>
      </c>
      <c r="R770" s="126">
        <f t="shared" si="107"/>
        <v>0</v>
      </c>
      <c r="S770" s="126">
        <f t="shared" si="107"/>
        <v>5063972.82</v>
      </c>
      <c r="T770" s="12"/>
    </row>
    <row r="771" spans="1:19" ht="12.75">
      <c r="A771" s="123"/>
      <c r="B771" s="123" t="s">
        <v>300</v>
      </c>
      <c r="C771" s="128">
        <f>SUM(C477:C479)+C672+C674</f>
        <v>56.25</v>
      </c>
      <c r="D771" s="123">
        <f t="shared" si="101"/>
        <v>2556</v>
      </c>
      <c r="E771" s="126"/>
      <c r="F771" s="126">
        <f aca="true" t="shared" si="108" ref="F771:S771">SUM(F477:F479)+F672+F674</f>
        <v>143775</v>
      </c>
      <c r="G771" s="126">
        <f t="shared" si="108"/>
        <v>0</v>
      </c>
      <c r="H771" s="126">
        <f t="shared" si="108"/>
        <v>958.5</v>
      </c>
      <c r="I771" s="126">
        <f t="shared" si="108"/>
        <v>22051.96</v>
      </c>
      <c r="J771" s="126">
        <f t="shared" si="108"/>
        <v>383.4</v>
      </c>
      <c r="K771" s="126">
        <f t="shared" si="108"/>
        <v>0</v>
      </c>
      <c r="L771" s="126">
        <f t="shared" si="108"/>
        <v>255.60000000000002</v>
      </c>
      <c r="M771" s="126">
        <f t="shared" si="108"/>
        <v>1533.6</v>
      </c>
      <c r="N771" s="126">
        <f t="shared" si="108"/>
        <v>0</v>
      </c>
      <c r="O771" s="126">
        <f t="shared" si="108"/>
        <v>0</v>
      </c>
      <c r="P771" s="126">
        <f t="shared" si="108"/>
        <v>25183.06</v>
      </c>
      <c r="Q771" s="126">
        <f t="shared" si="108"/>
        <v>168958.06</v>
      </c>
      <c r="R771" s="126">
        <f t="shared" si="108"/>
        <v>0</v>
      </c>
      <c r="S771" s="126">
        <f t="shared" si="108"/>
        <v>2027496.7200000002</v>
      </c>
    </row>
    <row r="772" spans="1:19" ht="12.75">
      <c r="A772" s="123"/>
      <c r="B772" s="123" t="s">
        <v>301</v>
      </c>
      <c r="C772" s="128">
        <f>SUM(C480:C483)</f>
        <v>69</v>
      </c>
      <c r="D772" s="123">
        <f t="shared" si="101"/>
        <v>2377</v>
      </c>
      <c r="E772" s="126"/>
      <c r="F772" s="126">
        <f aca="true" t="shared" si="109" ref="F772:S772">SUM(F480:F483)</f>
        <v>164013</v>
      </c>
      <c r="G772" s="126">
        <f t="shared" si="109"/>
        <v>0</v>
      </c>
      <c r="H772" s="126">
        <f t="shared" si="109"/>
        <v>89.1375</v>
      </c>
      <c r="I772" s="126">
        <f t="shared" si="109"/>
        <v>22569.615</v>
      </c>
      <c r="J772" s="126">
        <f t="shared" si="109"/>
        <v>1247.925</v>
      </c>
      <c r="K772" s="126">
        <f t="shared" si="109"/>
        <v>0</v>
      </c>
      <c r="L772" s="126">
        <f t="shared" si="109"/>
        <v>0</v>
      </c>
      <c r="M772" s="126">
        <f t="shared" si="109"/>
        <v>0</v>
      </c>
      <c r="N772" s="126">
        <f t="shared" si="109"/>
        <v>0</v>
      </c>
      <c r="O772" s="126">
        <f t="shared" si="109"/>
        <v>0</v>
      </c>
      <c r="P772" s="126">
        <f t="shared" si="109"/>
        <v>23906.6775</v>
      </c>
      <c r="Q772" s="126">
        <f t="shared" si="109"/>
        <v>187919.67750000002</v>
      </c>
      <c r="R772" s="126">
        <f t="shared" si="109"/>
        <v>0</v>
      </c>
      <c r="S772" s="126">
        <f t="shared" si="109"/>
        <v>2255036.1300000004</v>
      </c>
    </row>
    <row r="773" spans="1:19" ht="12.75">
      <c r="A773" s="123"/>
      <c r="B773" s="123"/>
      <c r="C773" s="128"/>
      <c r="D773" s="123"/>
      <c r="E773" s="126"/>
      <c r="F773" s="127"/>
      <c r="G773" s="127"/>
      <c r="H773" s="127"/>
      <c r="I773" s="127"/>
      <c r="J773" s="127"/>
      <c r="K773" s="126"/>
      <c r="L773" s="126"/>
      <c r="M773" s="126"/>
      <c r="N773" s="126"/>
      <c r="O773" s="126"/>
      <c r="P773" s="126"/>
      <c r="Q773" s="126"/>
      <c r="R773" s="126"/>
      <c r="S773" s="126"/>
    </row>
    <row r="774" spans="1:19" ht="12.75">
      <c r="A774" s="123"/>
      <c r="B774" s="123" t="s">
        <v>250</v>
      </c>
      <c r="C774" s="128" t="e">
        <f>C490+C493+C496+C499+C502+C505+C508+C511+C514+C517+C520+C523+C526+C538+C550+C555+C560+C565+C569+C572+C574+C575+C576+#REF!+C582+C592+C594+C602+C623+C648+C657+C660+C666+C670+C679+C684+C695+C708+C709+C710+C701+C702+C704+C685+C686+C687+C718+C719+C720</f>
        <v>#REF!</v>
      </c>
      <c r="D774" s="123" t="e">
        <f>F774/C774</f>
        <v>#REF!</v>
      </c>
      <c r="E774" s="128"/>
      <c r="F774" s="126" t="e">
        <f>F490+F493+F496+F499+F502+F505+F508+F511+F514+F517+F520+F523+F526+F538+F550+F555+F560+F565+F569+F572+F574+F575+F576+#REF!+F582+F592+F594+F602+F623+F648+F657+F660+F666+F670+F679+F684+F695+F708+F709+F710+F701+F702+F704+F685+F686+F687+F718+F719+F720</f>
        <v>#REF!</v>
      </c>
      <c r="G774" s="126" t="e">
        <f>G490+G493+G496+G499+G502+G505+G508+G511+G514+G517+G520+G523+G526+G538+G550+G555+G560+G565+G569+G572+G574+G575+G576+#REF!+G582+G592+G594+G602+G623+G648+G657+G660+G666+G670+G679+G684+G695+G708+G709+G710+G701+G702+G704+G685+G686+G687+G718+G719+G720</f>
        <v>#REF!</v>
      </c>
      <c r="H774" s="126" t="e">
        <f>H490+H493+H496+H499+H502+H505+H508+H511+H514+H517+H520+H523+H526+H538+H550+H555+H560+H565+H569+H572+H574+H575+H576+#REF!+H582+H592+H594+H602+H623+H648+H657+H660+H666+H670+H679+H684+H695+H708+H709+H710+H701+H702+H704+H685+H686+H687+H718+H719+H720</f>
        <v>#REF!</v>
      </c>
      <c r="I774" s="126" t="e">
        <f>I490+I493+I496+I499+I502+I505+I508+I511+I514+I517+I520+I523+I526+I538+I550+I555+I560+I565+I569+I572+I574+I575+I576+#REF!+I582+I592+I594+I602+I623+I648+I657+I660+I666+I670+I679+I684+I695+I708+I709+I710+I701+I702+I704+I685+I686+I687+I718+I719+I720</f>
        <v>#REF!</v>
      </c>
      <c r="J774" s="126" t="e">
        <f>J490+J493+J496+J499+J502+J505+J508+J511+J514+J517+J520+J523+J526+J538+J550+J555+J560+J565+J569+J572+J574+J575+J576+#REF!+J582+J592+J594+J602+J623+J648+J657+J660+J666+J670+J679+J684+J695+J708+J709+J710+J701+J702+J704+J685+J686+J687+J718+J719+J720</f>
        <v>#REF!</v>
      </c>
      <c r="K774" s="126" t="e">
        <f>K490+K493+K496+K499+K502+K505+K508+K511+K514+K517+K520+K523+K526+K538+K550+K555+K560+K565+K569+K572+K574+K575+K576+#REF!+K582+K592+K594+K602+K623+K648+K657+K660+K666+K670+K679+K684+K695+K708+K709+K710+K701+K702+K704+K685+K686+K687+K718+K719+K720</f>
        <v>#REF!</v>
      </c>
      <c r="L774" s="126" t="e">
        <f>L490+L493+L496+L499+L502+L505+L508+L511+L514+L517+L520+L523+L526+L538+L550+L555+L560+L565+L569+L572+L574+L575+L576+#REF!+L582+L592+L594+L602+L623+L648+L657+L660+L666+L670+L679+L684+L695+L708+L709+L710+L701+L702+L704+L685+L686+L687+L718+L719+L720</f>
        <v>#REF!</v>
      </c>
      <c r="M774" s="126" t="e">
        <f>M490+M493+M496+M499+M502+M505+M508+M511+M514+M517+M520+M523+M526+M538+M550+M555+M560+M565+M569+M572+M574+M575+M576+#REF!+M582+M592+M594+M602+M623+M648+M657+M660+M666+M670+M679+M684+M695+M708+M709+M710+M701+M702+M704+M685+M686+M687+M718+M719+M720</f>
        <v>#REF!</v>
      </c>
      <c r="N774" s="126" t="e">
        <f>N490+N493+N496+N499+N502+N505+N508+N511+N514+N517+N520+N523+N526+N538+N550+N555+N560+N565+N569+N572+N574+N575+N576+#REF!+N582+N592+N594+N602+N623+N648+N657+N660+N666+N670+N679+N684+N695+N708+N709+N710+N701+N702+N704+N685+N686+N687+N718+N719+N720</f>
        <v>#REF!</v>
      </c>
      <c r="O774" s="126" t="e">
        <f>O490+O493+O496+O499+O502+O505+O508+O511+O514+O517+O520+O523+O526+O538+O550+O555+O560+O565+O569+O572+O574+O575+O576+#REF!+O582+O592+O594+O602+O623+O648+O657+O660+O666+O670+O679+O684+O695+O708+O709+O710+O701+O702+O704+O685+O686+O687+O718+O719+O720</f>
        <v>#REF!</v>
      </c>
      <c r="P774" s="126" t="e">
        <f>P490+P493+P496+P499+P502+P505+P508+P511+P514+P517+P520+P523+P526+P538+P550+P555+P560+P565+P569+P572+P574+P575+P576+#REF!+P582+P592+P594+P602+P623+P648+P657+P660+P666+P670+P679+P684+P695+P708+P709+P710+P701+P702+P704+P685+P686+P687+P718+P719+P720</f>
        <v>#REF!</v>
      </c>
      <c r="Q774" s="126" t="e">
        <f>Q490+Q493+Q496+Q499+Q502+Q505+Q508+Q511+Q514+Q517+Q520+Q523+Q526+Q538+Q550+Q555+Q560+Q565+Q569+Q572+Q574+Q575+Q576+#REF!+Q582+Q592+Q594+Q602+Q623+Q648+Q657+Q660+Q666+Q670+Q679+Q684+Q695+Q708+Q709+Q710+Q701+Q702+Q704+Q685+Q686+Q687+Q718+Q719+Q720</f>
        <v>#REF!</v>
      </c>
      <c r="R774" s="126" t="e">
        <f>R490+R493+R496+R499+R502+R505+R508+R511+R514+R517+R520+R523+R526+R538+R550+R555+R560+R565+R569+R572+R574+R575+R576+#REF!+R582+R592+R594+R602+R623+R648+R657+R660+R666+R670+R679+R684+R695+R708+R709+R710+R701+R702+R704+R685+R686+R687+R718+R719+R720</f>
        <v>#REF!</v>
      </c>
      <c r="S774" s="126" t="e">
        <f>S490+S493+S496+S499+S502+S505+S508+S511+S514+S517+S520+S523+S526+S538+S550+S555+S560+S565+S569+S572+S574+S575+S576+#REF!+S582+S592+S594+S602+S623+S648+S657+S660+S666+S670+S679+S684+S695+S708+S709+S710+S701+S702+S704+S685+S686+S687+S718+S719+S720</f>
        <v>#REF!</v>
      </c>
    </row>
    <row r="775" spans="1:19" ht="12.75">
      <c r="A775" s="123"/>
      <c r="B775" s="123" t="s">
        <v>469</v>
      </c>
      <c r="C775" s="128">
        <f>C532</f>
        <v>8</v>
      </c>
      <c r="D775" s="123">
        <f>F775/C775</f>
        <v>1502.875</v>
      </c>
      <c r="E775" s="128"/>
      <c r="F775" s="126">
        <f aca="true" t="shared" si="110" ref="F775:S775">F532</f>
        <v>12023</v>
      </c>
      <c r="G775" s="126">
        <f t="shared" si="110"/>
        <v>6011.5</v>
      </c>
      <c r="H775" s="126">
        <f t="shared" si="110"/>
        <v>0</v>
      </c>
      <c r="I775" s="126">
        <f t="shared" si="110"/>
        <v>1372.8000000000002</v>
      </c>
      <c r="J775" s="126">
        <f t="shared" si="110"/>
        <v>0</v>
      </c>
      <c r="K775" s="126">
        <f t="shared" si="110"/>
        <v>0</v>
      </c>
      <c r="L775" s="126">
        <f t="shared" si="110"/>
        <v>0</v>
      </c>
      <c r="M775" s="126">
        <f t="shared" si="110"/>
        <v>0</v>
      </c>
      <c r="N775" s="126">
        <f t="shared" si="110"/>
        <v>0</v>
      </c>
      <c r="O775" s="126">
        <f t="shared" si="110"/>
        <v>0</v>
      </c>
      <c r="P775" s="126">
        <f t="shared" si="110"/>
        <v>7384.300000000001</v>
      </c>
      <c r="Q775" s="126">
        <f t="shared" si="110"/>
        <v>19407.3</v>
      </c>
      <c r="R775" s="126">
        <f t="shared" si="110"/>
        <v>0</v>
      </c>
      <c r="S775" s="126">
        <f t="shared" si="110"/>
        <v>232887.59999999998</v>
      </c>
    </row>
    <row r="776" spans="1:19" ht="12.75">
      <c r="A776" s="123"/>
      <c r="B776" s="123" t="s">
        <v>253</v>
      </c>
      <c r="C776" s="128">
        <f>C577+C578+C579+C587-C582+C599-C594+C616+C621+C636-C623+C639+C643+C647+C711+C712+C713+C714+C715+C703+C721+C722+C723+C724+C725+C726+C727</f>
        <v>149</v>
      </c>
      <c r="D776" s="123">
        <f>F776/C776</f>
        <v>1222.6140939597315</v>
      </c>
      <c r="E776" s="126"/>
      <c r="F776" s="127">
        <f aca="true" t="shared" si="111" ref="F776:S776">F577+F578+F579+F587-F582+F599-F594+F616+F621+F636-F623+F639+F643+F647+F711+F712+F713+F714+F715+F703+F721+F722+F723+F724+F725+F726+F727</f>
        <v>182169.5</v>
      </c>
      <c r="G776" s="127">
        <f t="shared" si="111"/>
        <v>0</v>
      </c>
      <c r="H776" s="127">
        <f t="shared" si="111"/>
        <v>0</v>
      </c>
      <c r="I776" s="127">
        <f t="shared" si="111"/>
        <v>0</v>
      </c>
      <c r="J776" s="127">
        <f t="shared" si="111"/>
        <v>0</v>
      </c>
      <c r="K776" s="127">
        <f t="shared" si="111"/>
        <v>0</v>
      </c>
      <c r="L776" s="127">
        <f t="shared" si="111"/>
        <v>0</v>
      </c>
      <c r="M776" s="127">
        <f t="shared" si="111"/>
        <v>0</v>
      </c>
      <c r="N776" s="127">
        <f t="shared" si="111"/>
        <v>423.32620000000003</v>
      </c>
      <c r="O776" s="127">
        <f t="shared" si="111"/>
        <v>2376.6</v>
      </c>
      <c r="P776" s="127">
        <f t="shared" si="111"/>
        <v>2799.9262</v>
      </c>
      <c r="Q776" s="127">
        <f t="shared" si="111"/>
        <v>184969.42620000002</v>
      </c>
      <c r="R776" s="127">
        <f t="shared" si="111"/>
        <v>0</v>
      </c>
      <c r="S776" s="127">
        <f t="shared" si="111"/>
        <v>2219633.1144</v>
      </c>
    </row>
    <row r="777" spans="1:19" ht="12.75">
      <c r="A777" s="123"/>
      <c r="B777" s="123" t="s">
        <v>255</v>
      </c>
      <c r="C777" s="128" t="e">
        <f>C766+C767+C768+C774+C776</f>
        <v>#REF!</v>
      </c>
      <c r="D777" s="123" t="e">
        <f>F777/C777</f>
        <v>#REF!</v>
      </c>
      <c r="E777" s="126"/>
      <c r="F777" s="126" t="e">
        <f aca="true" t="shared" si="112" ref="F777:P777">F766+F767+F768+F774+F776</f>
        <v>#REF!</v>
      </c>
      <c r="G777" s="126" t="e">
        <f t="shared" si="112"/>
        <v>#REF!</v>
      </c>
      <c r="H777" s="126" t="e">
        <f t="shared" si="112"/>
        <v>#REF!</v>
      </c>
      <c r="I777" s="126" t="e">
        <f t="shared" si="112"/>
        <v>#REF!</v>
      </c>
      <c r="J777" s="126" t="e">
        <f t="shared" si="112"/>
        <v>#REF!</v>
      </c>
      <c r="K777" s="126" t="e">
        <f t="shared" si="112"/>
        <v>#REF!</v>
      </c>
      <c r="L777" s="126" t="e">
        <f t="shared" si="112"/>
        <v>#REF!</v>
      </c>
      <c r="M777" s="126" t="e">
        <f t="shared" si="112"/>
        <v>#REF!</v>
      </c>
      <c r="N777" s="126" t="e">
        <f t="shared" si="112"/>
        <v>#REF!</v>
      </c>
      <c r="O777" s="126" t="e">
        <f t="shared" si="112"/>
        <v>#REF!</v>
      </c>
      <c r="P777" s="126" t="e">
        <f t="shared" si="112"/>
        <v>#REF!</v>
      </c>
      <c r="Q777" s="126" t="e">
        <f>Q764+Q766+Q767+Q768+Q774+Q776</f>
        <v>#REF!</v>
      </c>
      <c r="R777" s="128" t="e">
        <f>R766+R767+R768+R774+R776</f>
        <v>#REF!</v>
      </c>
      <c r="S777" s="129" t="e">
        <f>S764+S766+S767+S768+S774+S776</f>
        <v>#REF!</v>
      </c>
    </row>
    <row r="778" spans="1:19" ht="12.75">
      <c r="A778" s="123"/>
      <c r="B778" s="123"/>
      <c r="C778" s="128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8"/>
      <c r="S778" s="130"/>
    </row>
    <row r="779" spans="1:19" ht="12.75">
      <c r="A779" s="123"/>
      <c r="B779" s="123"/>
      <c r="C779" s="128"/>
      <c r="D779" s="128"/>
      <c r="E779" s="126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</row>
    <row r="780" spans="1:19" ht="12.75">
      <c r="A780" s="123"/>
      <c r="B780" s="123" t="s">
        <v>459</v>
      </c>
      <c r="C780" s="127"/>
      <c r="D780" s="127"/>
      <c r="E780" s="126"/>
      <c r="F780" s="128"/>
      <c r="G780" s="128"/>
      <c r="H780" s="127"/>
      <c r="I780" s="127"/>
      <c r="J780" s="126"/>
      <c r="K780" s="128"/>
      <c r="L780" s="128"/>
      <c r="M780" s="126"/>
      <c r="N780" s="126"/>
      <c r="O780" s="126"/>
      <c r="P780" s="126"/>
      <c r="Q780" s="126"/>
      <c r="R780" s="128"/>
      <c r="S780" s="128"/>
    </row>
    <row r="781" spans="1:19" ht="12.75">
      <c r="A781" s="123"/>
      <c r="B781" s="123" t="s">
        <v>460</v>
      </c>
      <c r="C781" s="143">
        <f>C17+C18+C19+C21+C26+C27+C28+C32+C33</f>
        <v>54</v>
      </c>
      <c r="D781" s="131">
        <f aca="true" t="shared" si="113" ref="D781:D789">F781/C781</f>
        <v>3296.296296296296</v>
      </c>
      <c r="E781" s="143"/>
      <c r="F781" s="131">
        <f aca="true" t="shared" si="114" ref="F781:S781">F17+F18+F19+F21+F26+F27+F28+F32+F33</f>
        <v>178000</v>
      </c>
      <c r="G781" s="131">
        <f t="shared" si="114"/>
        <v>0</v>
      </c>
      <c r="H781" s="131">
        <f t="shared" si="114"/>
        <v>2636.8</v>
      </c>
      <c r="I781" s="131">
        <f t="shared" si="114"/>
        <v>52996.76</v>
      </c>
      <c r="J781" s="131">
        <f t="shared" si="114"/>
        <v>41836.325</v>
      </c>
      <c r="K781" s="131">
        <f t="shared" si="114"/>
        <v>53658.395000000004</v>
      </c>
      <c r="L781" s="131">
        <f t="shared" si="114"/>
        <v>0</v>
      </c>
      <c r="M781" s="131">
        <f t="shared" si="114"/>
        <v>0</v>
      </c>
      <c r="N781" s="131">
        <f t="shared" si="114"/>
        <v>0</v>
      </c>
      <c r="O781" s="131">
        <f t="shared" si="114"/>
        <v>0</v>
      </c>
      <c r="P781" s="131">
        <f t="shared" si="114"/>
        <v>151128.27999999997</v>
      </c>
      <c r="Q781" s="131">
        <f t="shared" si="114"/>
        <v>329128.27999999997</v>
      </c>
      <c r="R781" s="131">
        <f t="shared" si="114"/>
        <v>12</v>
      </c>
      <c r="S781" s="131">
        <f t="shared" si="114"/>
        <v>3949539.36</v>
      </c>
    </row>
    <row r="782" spans="1:20" ht="12.75">
      <c r="A782" s="123"/>
      <c r="B782" s="123" t="s">
        <v>461</v>
      </c>
      <c r="C782" s="128">
        <f>C17+C18+C21+C26+C27+C32</f>
        <v>46.25</v>
      </c>
      <c r="D782" s="131">
        <f t="shared" si="113"/>
        <v>3323.7675675675678</v>
      </c>
      <c r="E782" s="128"/>
      <c r="F782" s="126">
        <f aca="true" t="shared" si="115" ref="F782:S782">F17+F18+F21+F26+F27+F32</f>
        <v>153724.25</v>
      </c>
      <c r="G782" s="126">
        <f t="shared" si="115"/>
        <v>0</v>
      </c>
      <c r="H782" s="126">
        <f t="shared" si="115"/>
        <v>1968</v>
      </c>
      <c r="I782" s="126">
        <f t="shared" si="115"/>
        <v>45714.034999999996</v>
      </c>
      <c r="J782" s="126">
        <f t="shared" si="115"/>
        <v>37860.5625</v>
      </c>
      <c r="K782" s="126">
        <f t="shared" si="115"/>
        <v>45647.39750000001</v>
      </c>
      <c r="L782" s="126">
        <f t="shared" si="115"/>
        <v>0</v>
      </c>
      <c r="M782" s="126">
        <f t="shared" si="115"/>
        <v>0</v>
      </c>
      <c r="N782" s="126">
        <f t="shared" si="115"/>
        <v>0</v>
      </c>
      <c r="O782" s="126">
        <f t="shared" si="115"/>
        <v>0</v>
      </c>
      <c r="P782" s="126">
        <f t="shared" si="115"/>
        <v>131189.995</v>
      </c>
      <c r="Q782" s="126">
        <f t="shared" si="115"/>
        <v>284914.245</v>
      </c>
      <c r="R782" s="126">
        <f t="shared" si="115"/>
        <v>12</v>
      </c>
      <c r="S782" s="126">
        <f t="shared" si="115"/>
        <v>3418970.94</v>
      </c>
      <c r="T782" s="12"/>
    </row>
    <row r="783" spans="1:19" ht="12.75">
      <c r="A783" s="123"/>
      <c r="B783" s="123" t="s">
        <v>299</v>
      </c>
      <c r="C783" s="128">
        <f>C22+C29+C30+C34+C35+C36</f>
        <v>136.75</v>
      </c>
      <c r="D783" s="131">
        <f t="shared" si="113"/>
        <v>2916.851919561243</v>
      </c>
      <c r="E783" s="128"/>
      <c r="F783" s="126">
        <f aca="true" t="shared" si="116" ref="F783:S783">F22+F29+F30+F34+F35+F36</f>
        <v>398879.5</v>
      </c>
      <c r="G783" s="126">
        <f t="shared" si="116"/>
        <v>0</v>
      </c>
      <c r="H783" s="126">
        <f t="shared" si="116"/>
        <v>582.8000000000001</v>
      </c>
      <c r="I783" s="126">
        <f t="shared" si="116"/>
        <v>99593.5</v>
      </c>
      <c r="J783" s="126">
        <f t="shared" si="116"/>
        <v>58340.375</v>
      </c>
      <c r="K783" s="126">
        <f t="shared" si="116"/>
        <v>99719.875</v>
      </c>
      <c r="L783" s="126">
        <f t="shared" si="116"/>
        <v>889.52</v>
      </c>
      <c r="M783" s="126">
        <f t="shared" si="116"/>
        <v>4371</v>
      </c>
      <c r="N783" s="126">
        <f t="shared" si="116"/>
        <v>0</v>
      </c>
      <c r="O783" s="126">
        <f t="shared" si="116"/>
        <v>0</v>
      </c>
      <c r="P783" s="126">
        <f t="shared" si="116"/>
        <v>263497.07</v>
      </c>
      <c r="Q783" s="126">
        <f t="shared" si="116"/>
        <v>662376.57</v>
      </c>
      <c r="R783" s="126">
        <f t="shared" si="116"/>
        <v>0</v>
      </c>
      <c r="S783" s="126">
        <f t="shared" si="116"/>
        <v>7948518.839999999</v>
      </c>
    </row>
    <row r="784" spans="1:19" ht="12.75">
      <c r="A784" s="123"/>
      <c r="B784" s="123" t="s">
        <v>462</v>
      </c>
      <c r="C784" s="128">
        <f>C19+C20+C22+C28+C29+C30+C33+C34+C35+C38</f>
        <v>159.25</v>
      </c>
      <c r="D784" s="131">
        <f t="shared" si="113"/>
        <v>2868.2354788069074</v>
      </c>
      <c r="E784" s="128"/>
      <c r="F784" s="126">
        <f aca="true" t="shared" si="117" ref="F784:S784">F19+F20+F22+F28+F29+F30+F33+F34+F35+F38</f>
        <v>456766.5</v>
      </c>
      <c r="G784" s="126">
        <f t="shared" si="117"/>
        <v>0</v>
      </c>
      <c r="H784" s="126">
        <f t="shared" si="117"/>
        <v>1251.6000000000001</v>
      </c>
      <c r="I784" s="126">
        <f t="shared" si="117"/>
        <v>107280.34999999999</v>
      </c>
      <c r="J784" s="126">
        <f t="shared" si="117"/>
        <v>66149.05</v>
      </c>
      <c r="K784" s="126">
        <f t="shared" si="117"/>
        <v>104452.6225</v>
      </c>
      <c r="L784" s="126">
        <f t="shared" si="117"/>
        <v>889.52</v>
      </c>
      <c r="M784" s="126">
        <f t="shared" si="117"/>
        <v>9541</v>
      </c>
      <c r="N784" s="126">
        <f t="shared" si="117"/>
        <v>0</v>
      </c>
      <c r="O784" s="126">
        <f t="shared" si="117"/>
        <v>0</v>
      </c>
      <c r="P784" s="126">
        <f t="shared" si="117"/>
        <v>289564.14249999996</v>
      </c>
      <c r="Q784" s="126">
        <f t="shared" si="117"/>
        <v>746330.6425000001</v>
      </c>
      <c r="R784" s="126">
        <f t="shared" si="117"/>
        <v>0</v>
      </c>
      <c r="S784" s="126">
        <f t="shared" si="117"/>
        <v>8955967.71</v>
      </c>
    </row>
    <row r="785" spans="1:19" ht="12.75">
      <c r="A785" s="123"/>
      <c r="B785" s="123" t="s">
        <v>463</v>
      </c>
      <c r="C785" s="128">
        <f>SUM(C26:C31)</f>
        <v>41</v>
      </c>
      <c r="D785" s="131">
        <f t="shared" si="113"/>
        <v>3233.390243902439</v>
      </c>
      <c r="E785" s="126"/>
      <c r="F785" s="126">
        <f aca="true" t="shared" si="118" ref="F785:S785">SUM(F26:F31)</f>
        <v>132569</v>
      </c>
      <c r="G785" s="126">
        <f t="shared" si="118"/>
        <v>0</v>
      </c>
      <c r="H785" s="126">
        <f t="shared" si="118"/>
        <v>1567.6</v>
      </c>
      <c r="I785" s="126">
        <f t="shared" si="118"/>
        <v>39367.46</v>
      </c>
      <c r="J785" s="126">
        <f t="shared" si="118"/>
        <v>28986.55</v>
      </c>
      <c r="K785" s="126">
        <f t="shared" si="118"/>
        <v>40019.090000000004</v>
      </c>
      <c r="L785" s="126">
        <f t="shared" si="118"/>
        <v>1502.96</v>
      </c>
      <c r="M785" s="126">
        <f t="shared" si="118"/>
        <v>0</v>
      </c>
      <c r="N785" s="126">
        <f t="shared" si="118"/>
        <v>0</v>
      </c>
      <c r="O785" s="126">
        <f t="shared" si="118"/>
        <v>0</v>
      </c>
      <c r="P785" s="126">
        <f t="shared" si="118"/>
        <v>111443.66</v>
      </c>
      <c r="Q785" s="126">
        <f t="shared" si="118"/>
        <v>244012.66</v>
      </c>
      <c r="R785" s="126">
        <f t="shared" si="118"/>
        <v>0</v>
      </c>
      <c r="S785" s="126">
        <f t="shared" si="118"/>
        <v>2928151.92</v>
      </c>
    </row>
    <row r="786" spans="1:19" ht="12.75">
      <c r="A786" s="123"/>
      <c r="B786" s="123" t="s">
        <v>298</v>
      </c>
      <c r="C786" s="128">
        <f>SUM(C32:C34)</f>
        <v>33.25</v>
      </c>
      <c r="D786" s="131">
        <f t="shared" si="113"/>
        <v>3015.2330827067667</v>
      </c>
      <c r="E786" s="126"/>
      <c r="F786" s="126">
        <f aca="true" t="shared" si="119" ref="F786:S786">SUM(F32:F34)</f>
        <v>100256.5</v>
      </c>
      <c r="G786" s="126">
        <f t="shared" si="119"/>
        <v>0</v>
      </c>
      <c r="H786" s="126">
        <f t="shared" si="119"/>
        <v>0</v>
      </c>
      <c r="I786" s="126">
        <f t="shared" si="119"/>
        <v>25633.100000000002</v>
      </c>
      <c r="J786" s="126">
        <f t="shared" si="119"/>
        <v>19457.4</v>
      </c>
      <c r="K786" s="126">
        <f t="shared" si="119"/>
        <v>24710.64</v>
      </c>
      <c r="L786" s="126">
        <f t="shared" si="119"/>
        <v>0</v>
      </c>
      <c r="M786" s="126">
        <f t="shared" si="119"/>
        <v>0</v>
      </c>
      <c r="N786" s="126">
        <f t="shared" si="119"/>
        <v>0</v>
      </c>
      <c r="O786" s="126">
        <f t="shared" si="119"/>
        <v>0</v>
      </c>
      <c r="P786" s="126">
        <f t="shared" si="119"/>
        <v>69801.14000000001</v>
      </c>
      <c r="Q786" s="126">
        <f t="shared" si="119"/>
        <v>170057.64</v>
      </c>
      <c r="R786" s="126">
        <f t="shared" si="119"/>
        <v>0</v>
      </c>
      <c r="S786" s="126">
        <f t="shared" si="119"/>
        <v>2040691.6800000002</v>
      </c>
    </row>
    <row r="787" spans="1:19" ht="12.75">
      <c r="A787" s="123"/>
      <c r="B787" s="123" t="s">
        <v>299</v>
      </c>
      <c r="C787" s="128">
        <f>SUM(C35:C39)</f>
        <v>138</v>
      </c>
      <c r="D787" s="131">
        <f t="shared" si="113"/>
        <v>2830.0126811594205</v>
      </c>
      <c r="E787" s="126"/>
      <c r="F787" s="126">
        <f aca="true" t="shared" si="120" ref="F787:S787">SUM(F35:F39)</f>
        <v>390541.75</v>
      </c>
      <c r="G787" s="126">
        <f t="shared" si="120"/>
        <v>0</v>
      </c>
      <c r="H787" s="126">
        <f t="shared" si="120"/>
        <v>582.8000000000001</v>
      </c>
      <c r="I787" s="126">
        <f t="shared" si="120"/>
        <v>89102.12499999999</v>
      </c>
      <c r="J787" s="126">
        <f t="shared" si="120"/>
        <v>52023.1875</v>
      </c>
      <c r="K787" s="126">
        <f t="shared" si="120"/>
        <v>79770.75</v>
      </c>
      <c r="L787" s="126">
        <f t="shared" si="120"/>
        <v>0</v>
      </c>
      <c r="M787" s="126">
        <f t="shared" si="120"/>
        <v>9541</v>
      </c>
      <c r="N787" s="126">
        <f t="shared" si="120"/>
        <v>0</v>
      </c>
      <c r="O787" s="126">
        <f t="shared" si="120"/>
        <v>0</v>
      </c>
      <c r="P787" s="126">
        <f t="shared" si="120"/>
        <v>231019.8625</v>
      </c>
      <c r="Q787" s="126">
        <f t="shared" si="120"/>
        <v>621561.6124999999</v>
      </c>
      <c r="R787" s="126">
        <f t="shared" si="120"/>
        <v>0</v>
      </c>
      <c r="S787" s="126">
        <f t="shared" si="120"/>
        <v>7458739.35</v>
      </c>
    </row>
    <row r="788" spans="1:19" ht="12.75">
      <c r="A788" s="123"/>
      <c r="B788" s="123" t="s">
        <v>464</v>
      </c>
      <c r="C788" s="127">
        <f>SUM(C40:C42)</f>
        <v>31.5</v>
      </c>
      <c r="D788" s="131">
        <f t="shared" si="113"/>
        <v>2556</v>
      </c>
      <c r="E788" s="127"/>
      <c r="F788" s="126">
        <f aca="true" t="shared" si="121" ref="F788:S788">SUM(F40:F42)</f>
        <v>80514</v>
      </c>
      <c r="G788" s="126">
        <f t="shared" si="121"/>
        <v>0</v>
      </c>
      <c r="H788" s="126">
        <f t="shared" si="121"/>
        <v>702.9000000000001</v>
      </c>
      <c r="I788" s="126">
        <f t="shared" si="121"/>
        <v>16179.920000000002</v>
      </c>
      <c r="J788" s="126">
        <f t="shared" si="121"/>
        <v>0</v>
      </c>
      <c r="K788" s="126">
        <f t="shared" si="121"/>
        <v>0</v>
      </c>
      <c r="L788" s="126">
        <f t="shared" si="121"/>
        <v>0</v>
      </c>
      <c r="M788" s="126">
        <f t="shared" si="121"/>
        <v>1533.6</v>
      </c>
      <c r="N788" s="126">
        <f t="shared" si="121"/>
        <v>0</v>
      </c>
      <c r="O788" s="126">
        <f t="shared" si="121"/>
        <v>0</v>
      </c>
      <c r="P788" s="126">
        <f t="shared" si="121"/>
        <v>18416.42</v>
      </c>
      <c r="Q788" s="126">
        <f t="shared" si="121"/>
        <v>98930.42000000001</v>
      </c>
      <c r="R788" s="126">
        <f t="shared" si="121"/>
        <v>0</v>
      </c>
      <c r="S788" s="126">
        <f t="shared" si="121"/>
        <v>1187165.04</v>
      </c>
    </row>
    <row r="789" spans="1:19" ht="12.75">
      <c r="A789" s="123"/>
      <c r="B789" s="123" t="s">
        <v>465</v>
      </c>
      <c r="C789" s="128">
        <f>SUM(C43:C45)</f>
        <v>35.55</v>
      </c>
      <c r="D789" s="131">
        <f t="shared" si="113"/>
        <v>2377.0000000000005</v>
      </c>
      <c r="E789" s="126"/>
      <c r="F789" s="126">
        <f aca="true" t="shared" si="122" ref="F789:S789">SUM(F43:F45)</f>
        <v>84502.35</v>
      </c>
      <c r="G789" s="126">
        <f t="shared" si="122"/>
        <v>0</v>
      </c>
      <c r="H789" s="126">
        <f t="shared" si="122"/>
        <v>297.125</v>
      </c>
      <c r="I789" s="126">
        <f t="shared" si="122"/>
        <v>11751.485000000002</v>
      </c>
      <c r="J789" s="126">
        <f t="shared" si="122"/>
        <v>445.6875</v>
      </c>
      <c r="K789" s="126">
        <f t="shared" si="122"/>
        <v>0</v>
      </c>
      <c r="L789" s="126">
        <f t="shared" si="122"/>
        <v>0</v>
      </c>
      <c r="M789" s="126">
        <f t="shared" si="122"/>
        <v>713.1</v>
      </c>
      <c r="N789" s="126">
        <f t="shared" si="122"/>
        <v>0</v>
      </c>
      <c r="O789" s="126">
        <f t="shared" si="122"/>
        <v>0</v>
      </c>
      <c r="P789" s="126">
        <f t="shared" si="122"/>
        <v>13207.397500000003</v>
      </c>
      <c r="Q789" s="126">
        <f t="shared" si="122"/>
        <v>97709.7475</v>
      </c>
      <c r="R789" s="126">
        <f t="shared" si="122"/>
        <v>0</v>
      </c>
      <c r="S789" s="126">
        <f t="shared" si="122"/>
        <v>1172516.97</v>
      </c>
    </row>
    <row r="790" spans="1:19" ht="12.75">
      <c r="A790" s="123"/>
      <c r="B790" s="123"/>
      <c r="C790" s="128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9"/>
    </row>
    <row r="791" spans="1:19" ht="12.75">
      <c r="A791" s="123"/>
      <c r="B791" s="123"/>
      <c r="C791" s="128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8"/>
      <c r="S791" s="130"/>
    </row>
    <row r="792" spans="1:19" ht="12.75">
      <c r="A792" s="123"/>
      <c r="B792" s="123" t="s">
        <v>466</v>
      </c>
      <c r="C792" s="127"/>
      <c r="D792" s="127"/>
      <c r="E792" s="126"/>
      <c r="F792" s="128"/>
      <c r="G792" s="128"/>
      <c r="H792" s="127"/>
      <c r="I792" s="127"/>
      <c r="J792" s="126"/>
      <c r="K792" s="128"/>
      <c r="L792" s="128"/>
      <c r="M792" s="126"/>
      <c r="N792" s="126"/>
      <c r="O792" s="126"/>
      <c r="P792" s="126"/>
      <c r="Q792" s="126"/>
      <c r="R792" s="128"/>
      <c r="S792" s="128"/>
    </row>
    <row r="793" spans="1:19" ht="12.75">
      <c r="A793" s="123"/>
      <c r="B793" s="123" t="s">
        <v>460</v>
      </c>
      <c r="C793" s="143">
        <f>C467+C472</f>
        <v>5.75</v>
      </c>
      <c r="D793" s="131">
        <f aca="true" t="shared" si="123" ref="D793:D801">F793/C793</f>
        <v>3143.2608695652175</v>
      </c>
      <c r="E793" s="143"/>
      <c r="F793" s="131">
        <f aca="true" t="shared" si="124" ref="F793:S793">F467+F472</f>
        <v>18073.75</v>
      </c>
      <c r="G793" s="131">
        <f t="shared" si="124"/>
        <v>1672</v>
      </c>
      <c r="H793" s="131">
        <f t="shared" si="124"/>
        <v>1444.0500000000002</v>
      </c>
      <c r="I793" s="131">
        <f t="shared" si="124"/>
        <v>5422.125</v>
      </c>
      <c r="J793" s="131">
        <f t="shared" si="124"/>
        <v>4518.4375</v>
      </c>
      <c r="K793" s="131">
        <f t="shared" si="124"/>
        <v>5964.3375</v>
      </c>
      <c r="L793" s="131">
        <f t="shared" si="124"/>
        <v>0</v>
      </c>
      <c r="M793" s="131">
        <f t="shared" si="124"/>
        <v>0</v>
      </c>
      <c r="N793" s="131">
        <f t="shared" si="124"/>
        <v>0</v>
      </c>
      <c r="O793" s="131">
        <f t="shared" si="124"/>
        <v>0</v>
      </c>
      <c r="P793" s="131">
        <f t="shared" si="124"/>
        <v>19020.95</v>
      </c>
      <c r="Q793" s="131">
        <f t="shared" si="124"/>
        <v>37094.7</v>
      </c>
      <c r="R793" s="131">
        <f t="shared" si="124"/>
        <v>0</v>
      </c>
      <c r="S793" s="131">
        <f t="shared" si="124"/>
        <v>445136.4</v>
      </c>
    </row>
    <row r="794" spans="1:19" ht="12.75">
      <c r="A794" s="123"/>
      <c r="B794" s="123" t="s">
        <v>461</v>
      </c>
      <c r="C794" s="128">
        <f>C467+C468+C472</f>
        <v>6.75</v>
      </c>
      <c r="D794" s="131">
        <f t="shared" si="123"/>
        <v>3173</v>
      </c>
      <c r="E794" s="126"/>
      <c r="F794" s="126">
        <f aca="true" t="shared" si="125" ref="F794:S794">F467+F468+F472</f>
        <v>21417.75</v>
      </c>
      <c r="G794" s="126">
        <f t="shared" si="125"/>
        <v>3344</v>
      </c>
      <c r="H794" s="126">
        <f t="shared" si="125"/>
        <v>1444.0500000000002</v>
      </c>
      <c r="I794" s="126">
        <f t="shared" si="125"/>
        <v>5756.525</v>
      </c>
      <c r="J794" s="126">
        <f t="shared" si="125"/>
        <v>5354.4375</v>
      </c>
      <c r="K794" s="126">
        <f t="shared" si="125"/>
        <v>6800.3375</v>
      </c>
      <c r="L794" s="126">
        <f t="shared" si="125"/>
        <v>0</v>
      </c>
      <c r="M794" s="126">
        <f t="shared" si="125"/>
        <v>0</v>
      </c>
      <c r="N794" s="126">
        <f t="shared" si="125"/>
        <v>0</v>
      </c>
      <c r="O794" s="126">
        <f t="shared" si="125"/>
        <v>0</v>
      </c>
      <c r="P794" s="126">
        <f t="shared" si="125"/>
        <v>22699.35</v>
      </c>
      <c r="Q794" s="126">
        <f t="shared" si="125"/>
        <v>44117.1</v>
      </c>
      <c r="R794" s="126">
        <f t="shared" si="125"/>
        <v>0</v>
      </c>
      <c r="S794" s="126">
        <f t="shared" si="125"/>
        <v>529405.2</v>
      </c>
    </row>
    <row r="795" spans="1:19" ht="12.75">
      <c r="A795" s="123"/>
      <c r="B795" s="123" t="s">
        <v>299</v>
      </c>
      <c r="C795" s="128">
        <f>C468+SUM(C473:C473)+C653+C673+C690+C691+C700+C683</f>
        <v>56.25</v>
      </c>
      <c r="D795" s="131">
        <f t="shared" si="123"/>
        <v>2882.8533333333335</v>
      </c>
      <c r="E795" s="126"/>
      <c r="F795" s="126">
        <f aca="true" t="shared" si="126" ref="F795:S795">F468+SUM(F473:F473)+F653+F673+F690+F691+F700+F683</f>
        <v>162160.5</v>
      </c>
      <c r="G795" s="126">
        <f t="shared" si="126"/>
        <v>2656</v>
      </c>
      <c r="H795" s="126">
        <f t="shared" si="126"/>
        <v>1311.3000000000002</v>
      </c>
      <c r="I795" s="126">
        <f t="shared" si="126"/>
        <v>26452.175000000003</v>
      </c>
      <c r="J795" s="126">
        <f t="shared" si="126"/>
        <v>24312.175</v>
      </c>
      <c r="K795" s="126">
        <f t="shared" si="126"/>
        <v>39957.325</v>
      </c>
      <c r="L795" s="126">
        <f t="shared" si="126"/>
        <v>174.84</v>
      </c>
      <c r="M795" s="126">
        <f t="shared" si="126"/>
        <v>2833.75</v>
      </c>
      <c r="N795" s="126">
        <f t="shared" si="126"/>
        <v>0</v>
      </c>
      <c r="O795" s="126">
        <f t="shared" si="126"/>
        <v>0</v>
      </c>
      <c r="P795" s="126">
        <f t="shared" si="126"/>
        <v>97697.56499999999</v>
      </c>
      <c r="Q795" s="126">
        <f t="shared" si="126"/>
        <v>259858.06499999997</v>
      </c>
      <c r="R795" s="126">
        <f t="shared" si="126"/>
        <v>0</v>
      </c>
      <c r="S795" s="126">
        <f t="shared" si="126"/>
        <v>3118296.78</v>
      </c>
    </row>
    <row r="796" spans="1:19" ht="12.75">
      <c r="A796" s="123"/>
      <c r="B796" s="123" t="s">
        <v>462</v>
      </c>
      <c r="C796" s="128">
        <f>C473+C474+C475+C476+C477+C480+C683+C690+C691+C700</f>
        <v>104.5</v>
      </c>
      <c r="D796" s="131">
        <f t="shared" si="123"/>
        <v>2665.653110047847</v>
      </c>
      <c r="E796" s="126"/>
      <c r="F796" s="126">
        <f aca="true" t="shared" si="127" ref="F796:S796">F473+F474+F475+F476+F477+F480+F683+F690+F691+F700</f>
        <v>278560.75</v>
      </c>
      <c r="G796" s="126">
        <f t="shared" si="127"/>
        <v>0</v>
      </c>
      <c r="H796" s="126">
        <f t="shared" si="127"/>
        <v>1311.3000000000002</v>
      </c>
      <c r="I796" s="126">
        <f t="shared" si="127"/>
        <v>49711.2325</v>
      </c>
      <c r="J796" s="126">
        <f t="shared" si="127"/>
        <v>37528.512500000004</v>
      </c>
      <c r="K796" s="126">
        <f t="shared" si="127"/>
        <v>37572.825</v>
      </c>
      <c r="L796" s="126">
        <f t="shared" si="127"/>
        <v>174.84</v>
      </c>
      <c r="M796" s="126">
        <f t="shared" si="127"/>
        <v>1959.5499999999997</v>
      </c>
      <c r="N796" s="126">
        <f t="shared" si="127"/>
        <v>0</v>
      </c>
      <c r="O796" s="126">
        <f t="shared" si="127"/>
        <v>0</v>
      </c>
      <c r="P796" s="126">
        <f t="shared" si="127"/>
        <v>128258.26</v>
      </c>
      <c r="Q796" s="126">
        <f t="shared" si="127"/>
        <v>406819.00999999995</v>
      </c>
      <c r="R796" s="126">
        <f t="shared" si="127"/>
        <v>0</v>
      </c>
      <c r="S796" s="126">
        <f t="shared" si="127"/>
        <v>4881828.12</v>
      </c>
    </row>
    <row r="797" spans="1:19" ht="12.75">
      <c r="A797" s="123"/>
      <c r="B797" s="123" t="s">
        <v>463</v>
      </c>
      <c r="C797" s="126">
        <f>C672+C690</f>
        <v>2</v>
      </c>
      <c r="D797" s="131">
        <f t="shared" si="123"/>
        <v>2735</v>
      </c>
      <c r="E797" s="126"/>
      <c r="F797" s="126">
        <f aca="true" t="shared" si="128" ref="F797:S797">F672+F690</f>
        <v>5470</v>
      </c>
      <c r="G797" s="126">
        <f t="shared" si="128"/>
        <v>0</v>
      </c>
      <c r="H797" s="126">
        <f t="shared" si="128"/>
        <v>0</v>
      </c>
      <c r="I797" s="126">
        <f t="shared" si="128"/>
        <v>1641</v>
      </c>
      <c r="J797" s="126">
        <f t="shared" si="128"/>
        <v>728.5</v>
      </c>
      <c r="K797" s="126">
        <f t="shared" si="128"/>
        <v>437.09999999999997</v>
      </c>
      <c r="L797" s="126">
        <f t="shared" si="128"/>
        <v>430.44000000000005</v>
      </c>
      <c r="M797" s="126">
        <f t="shared" si="128"/>
        <v>0</v>
      </c>
      <c r="N797" s="126">
        <f t="shared" si="128"/>
        <v>0</v>
      </c>
      <c r="O797" s="126">
        <f t="shared" si="128"/>
        <v>0</v>
      </c>
      <c r="P797" s="126">
        <f t="shared" si="128"/>
        <v>3237.04</v>
      </c>
      <c r="Q797" s="126">
        <f t="shared" si="128"/>
        <v>8707.039999999999</v>
      </c>
      <c r="R797" s="126">
        <f t="shared" si="128"/>
        <v>0</v>
      </c>
      <c r="S797" s="126">
        <f t="shared" si="128"/>
        <v>104484.48</v>
      </c>
    </row>
    <row r="798" spans="1:19" ht="12.75">
      <c r="A798" s="123"/>
      <c r="B798" s="123" t="s">
        <v>298</v>
      </c>
      <c r="C798" s="128">
        <f>C472+C691</f>
        <v>5.75</v>
      </c>
      <c r="D798" s="131">
        <f t="shared" si="123"/>
        <v>3068.478260869565</v>
      </c>
      <c r="E798" s="128"/>
      <c r="F798" s="126">
        <f aca="true" t="shared" si="129" ref="F798:S798">F472+F691</f>
        <v>17643.75</v>
      </c>
      <c r="G798" s="126">
        <f t="shared" si="129"/>
        <v>0</v>
      </c>
      <c r="H798" s="126">
        <f t="shared" si="129"/>
        <v>775.25</v>
      </c>
      <c r="I798" s="126">
        <f t="shared" si="129"/>
        <v>5293.125</v>
      </c>
      <c r="J798" s="126">
        <f t="shared" si="129"/>
        <v>4410.9375</v>
      </c>
      <c r="K798" s="126">
        <f t="shared" si="129"/>
        <v>5297.9175000000005</v>
      </c>
      <c r="L798" s="126">
        <f t="shared" si="129"/>
        <v>0</v>
      </c>
      <c r="M798" s="126">
        <f t="shared" si="129"/>
        <v>0</v>
      </c>
      <c r="N798" s="126">
        <f t="shared" si="129"/>
        <v>0</v>
      </c>
      <c r="O798" s="126">
        <f t="shared" si="129"/>
        <v>0</v>
      </c>
      <c r="P798" s="126">
        <f t="shared" si="129"/>
        <v>15777.23</v>
      </c>
      <c r="Q798" s="126">
        <f t="shared" si="129"/>
        <v>33420.979999999996</v>
      </c>
      <c r="R798" s="126">
        <f t="shared" si="129"/>
        <v>0</v>
      </c>
      <c r="S798" s="126">
        <f t="shared" si="129"/>
        <v>401051.76</v>
      </c>
    </row>
    <row r="799" spans="1:19" ht="12.75">
      <c r="A799" s="123"/>
      <c r="B799" s="123" t="s">
        <v>299</v>
      </c>
      <c r="C799" s="128">
        <f>SUM(C473:C476)+C673+C692</f>
        <v>104</v>
      </c>
      <c r="D799" s="131">
        <f t="shared" si="123"/>
        <v>2710.4735576923076</v>
      </c>
      <c r="E799" s="126"/>
      <c r="F799" s="126">
        <f aca="true" t="shared" si="130" ref="F799:S799">SUM(F473:F476)+F673+F692</f>
        <v>281889.25</v>
      </c>
      <c r="G799" s="126">
        <f t="shared" si="130"/>
        <v>0</v>
      </c>
      <c r="H799" s="126">
        <f t="shared" si="130"/>
        <v>1311.3000000000002</v>
      </c>
      <c r="I799" s="126">
        <f t="shared" si="130"/>
        <v>53205.6325</v>
      </c>
      <c r="J799" s="126">
        <f t="shared" si="130"/>
        <v>39047.6875</v>
      </c>
      <c r="K799" s="126">
        <f t="shared" si="130"/>
        <v>39666.825</v>
      </c>
      <c r="L799" s="126">
        <f t="shared" si="130"/>
        <v>0</v>
      </c>
      <c r="M799" s="126">
        <f t="shared" si="130"/>
        <v>1748.3999999999999</v>
      </c>
      <c r="N799" s="126">
        <f t="shared" si="130"/>
        <v>0</v>
      </c>
      <c r="O799" s="126">
        <f t="shared" si="130"/>
        <v>0</v>
      </c>
      <c r="P799" s="126">
        <f t="shared" si="130"/>
        <v>134979.84499999997</v>
      </c>
      <c r="Q799" s="126">
        <f t="shared" si="130"/>
        <v>416869.095</v>
      </c>
      <c r="R799" s="126">
        <f t="shared" si="130"/>
        <v>0</v>
      </c>
      <c r="S799" s="126">
        <f t="shared" si="130"/>
        <v>5002429.140000001</v>
      </c>
    </row>
    <row r="800" spans="1:19" ht="12.75">
      <c r="A800" s="123"/>
      <c r="B800" s="123" t="s">
        <v>464</v>
      </c>
      <c r="C800" s="127">
        <f>C477+C478+C479+C674</f>
        <v>55.25</v>
      </c>
      <c r="D800" s="131">
        <f t="shared" si="123"/>
        <v>2556</v>
      </c>
      <c r="E800" s="127"/>
      <c r="F800" s="126">
        <f aca="true" t="shared" si="131" ref="F800:S800">F477+F478+F479+F674</f>
        <v>141219</v>
      </c>
      <c r="G800" s="126">
        <f t="shared" si="131"/>
        <v>0</v>
      </c>
      <c r="H800" s="126">
        <f t="shared" si="131"/>
        <v>958.5</v>
      </c>
      <c r="I800" s="126">
        <f t="shared" si="131"/>
        <v>21285.16</v>
      </c>
      <c r="J800" s="126">
        <f t="shared" si="131"/>
        <v>383.4</v>
      </c>
      <c r="K800" s="126">
        <f t="shared" si="131"/>
        <v>0</v>
      </c>
      <c r="L800" s="126">
        <f t="shared" si="131"/>
        <v>0</v>
      </c>
      <c r="M800" s="126">
        <f t="shared" si="131"/>
        <v>1533.6</v>
      </c>
      <c r="N800" s="126">
        <f t="shared" si="131"/>
        <v>0</v>
      </c>
      <c r="O800" s="126">
        <f t="shared" si="131"/>
        <v>0</v>
      </c>
      <c r="P800" s="126">
        <f t="shared" si="131"/>
        <v>24160.66</v>
      </c>
      <c r="Q800" s="126">
        <f t="shared" si="131"/>
        <v>165379.66</v>
      </c>
      <c r="R800" s="126">
        <f t="shared" si="131"/>
        <v>0</v>
      </c>
      <c r="S800" s="126">
        <f t="shared" si="131"/>
        <v>1984555.92</v>
      </c>
    </row>
    <row r="801" spans="1:19" ht="12.75">
      <c r="A801" s="123"/>
      <c r="B801" s="123" t="s">
        <v>465</v>
      </c>
      <c r="C801" s="128">
        <f>SUM(C480:C483)</f>
        <v>69</v>
      </c>
      <c r="D801" s="131">
        <f t="shared" si="123"/>
        <v>2377</v>
      </c>
      <c r="E801" s="126"/>
      <c r="F801" s="126">
        <f aca="true" t="shared" si="132" ref="F801:S801">SUM(F480:F483)</f>
        <v>164013</v>
      </c>
      <c r="G801" s="126">
        <f t="shared" si="132"/>
        <v>0</v>
      </c>
      <c r="H801" s="126">
        <f t="shared" si="132"/>
        <v>89.1375</v>
      </c>
      <c r="I801" s="126">
        <f t="shared" si="132"/>
        <v>22569.615</v>
      </c>
      <c r="J801" s="126">
        <f t="shared" si="132"/>
        <v>1247.925</v>
      </c>
      <c r="K801" s="126">
        <f t="shared" si="132"/>
        <v>0</v>
      </c>
      <c r="L801" s="126">
        <f t="shared" si="132"/>
        <v>0</v>
      </c>
      <c r="M801" s="126">
        <f t="shared" si="132"/>
        <v>0</v>
      </c>
      <c r="N801" s="126">
        <f t="shared" si="132"/>
        <v>0</v>
      </c>
      <c r="O801" s="126">
        <f t="shared" si="132"/>
        <v>0</v>
      </c>
      <c r="P801" s="126">
        <f t="shared" si="132"/>
        <v>23906.6775</v>
      </c>
      <c r="Q801" s="126">
        <f t="shared" si="132"/>
        <v>187919.67750000002</v>
      </c>
      <c r="R801" s="126">
        <f t="shared" si="132"/>
        <v>0</v>
      </c>
      <c r="S801" s="126">
        <f t="shared" si="132"/>
        <v>2255036.1300000004</v>
      </c>
    </row>
    <row r="802" spans="1:19" ht="12.75">
      <c r="A802" s="123"/>
      <c r="B802" s="123"/>
      <c r="C802" s="128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9"/>
    </row>
    <row r="803" spans="1:19" ht="12.75">
      <c r="A803" s="123"/>
      <c r="B803" s="123"/>
      <c r="C803" s="132"/>
      <c r="D803" s="132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</row>
    <row r="804" spans="1:19" ht="12.75">
      <c r="A804" s="123"/>
      <c r="B804" s="126"/>
      <c r="C804" s="132"/>
      <c r="D804" s="132"/>
      <c r="E804" s="13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</row>
    <row r="805" spans="1:19" ht="12.75">
      <c r="A805" s="123"/>
      <c r="B805" s="123"/>
      <c r="C805" s="132"/>
      <c r="D805" s="132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</row>
    <row r="806" spans="1:19" ht="12.75">
      <c r="A806" s="123"/>
      <c r="B806" s="123"/>
      <c r="C806" s="132"/>
      <c r="D806" s="132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</row>
    <row r="807" spans="1:19" ht="12.75">
      <c r="A807" s="123"/>
      <c r="B807" s="123"/>
      <c r="C807" s="132"/>
      <c r="D807" s="132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</row>
    <row r="808" spans="1:19" ht="12.75">
      <c r="A808" s="123"/>
      <c r="B808" s="123"/>
      <c r="C808" s="132"/>
      <c r="D808" s="132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</row>
    <row r="809" spans="1:19" ht="12.75">
      <c r="A809" s="123"/>
      <c r="B809" s="123"/>
      <c r="C809" s="132"/>
      <c r="D809" s="132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</row>
    <row r="810" spans="1:19" ht="12.75">
      <c r="A810" s="123"/>
      <c r="B810" s="123"/>
      <c r="C810" s="132"/>
      <c r="D810" s="132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</row>
    <row r="811" spans="1:19" ht="12.75">
      <c r="A811" s="123"/>
      <c r="B811" s="123"/>
      <c r="C811" s="132"/>
      <c r="D811" s="132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</row>
    <row r="812" spans="1:19" ht="12.7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</row>
    <row r="813" spans="1:19" ht="12.75">
      <c r="A813" s="123"/>
      <c r="B813" s="123"/>
      <c r="C813" s="126"/>
      <c r="D813" s="126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</row>
    <row r="814" spans="1:19" ht="12.7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</row>
    <row r="815" spans="1:19" ht="12.7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</row>
    <row r="816" spans="1:19" ht="12.7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</row>
    <row r="817" spans="1:19" ht="12.7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</row>
    <row r="818" spans="1:19" ht="12.7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</row>
    <row r="819" spans="1:19" ht="12.7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</row>
    <row r="820" spans="1:19" ht="12.7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</row>
    <row r="821" spans="1:19" ht="12.7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</row>
    <row r="822" spans="1:19" ht="12.7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</row>
    <row r="823" spans="1:19" ht="12.7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</row>
    <row r="824" spans="1:19" ht="12.7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</row>
    <row r="825" spans="1:19" ht="12.7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</row>
    <row r="826" spans="1:19" ht="12.7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</row>
    <row r="827" spans="1:19" ht="12.7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</row>
    <row r="828" spans="1:19" ht="12.7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</row>
    <row r="829" spans="1:19" ht="12.7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</row>
    <row r="830" spans="1:19" ht="12.7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</row>
    <row r="831" spans="1:19" ht="12.7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</row>
    <row r="832" spans="1:19" ht="12.7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</row>
    <row r="833" spans="1:19" ht="12.7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</row>
    <row r="834" spans="1:19" ht="12.7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</row>
    <row r="835" spans="1:19" ht="12.7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</row>
    <row r="836" spans="1:19" ht="12.7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</row>
    <row r="837" spans="1:19" ht="12.7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</row>
    <row r="838" spans="1:19" ht="12.7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</row>
    <row r="839" spans="1:19" ht="12.7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</row>
    <row r="840" spans="1:19" ht="12.7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</row>
    <row r="841" spans="1:19" ht="12.7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</row>
    <row r="842" spans="1:19" ht="12.7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</row>
    <row r="843" spans="1:19" ht="12.7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</row>
    <row r="844" spans="1:19" ht="12.7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</row>
    <row r="845" spans="1:19" ht="12.7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</row>
    <row r="846" spans="1:19" ht="12.7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</row>
    <row r="847" spans="1:19" ht="12.7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</row>
    <row r="848" spans="1:19" ht="12.7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</row>
    <row r="849" spans="1:19" ht="12.7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</row>
    <row r="850" spans="1:19" ht="12.7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</row>
    <row r="851" spans="1:19" ht="12.7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</row>
    <row r="852" spans="1:19" ht="12.7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</row>
    <row r="853" spans="1:19" ht="12.7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</row>
    <row r="854" spans="1:19" ht="12.7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</row>
    <row r="855" spans="1:19" ht="12.7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</row>
    <row r="856" spans="1:19" ht="12.7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</row>
    <row r="857" spans="1:19" ht="12.7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</row>
    <row r="858" spans="1:19" ht="12.7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</row>
    <row r="859" spans="1:19" ht="12.7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</row>
    <row r="860" spans="1:19" ht="12.7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</row>
    <row r="861" spans="1:19" ht="12.7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</row>
    <row r="862" spans="1:19" ht="12.7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</row>
    <row r="863" spans="1:19" ht="12.7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</row>
    <row r="864" spans="1:19" ht="12.7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</row>
    <row r="865" spans="1:19" ht="12.7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</row>
    <row r="866" spans="1:19" ht="12.7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</row>
    <row r="867" spans="1:19" ht="12.7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</row>
    <row r="868" spans="1:19" ht="12.7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</row>
    <row r="869" spans="1:19" ht="12.7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</row>
    <row r="870" spans="1:19" ht="12.7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</row>
    <row r="871" spans="1:19" ht="12.7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</row>
    <row r="872" spans="1:19" ht="12.7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</row>
    <row r="873" spans="1:19" ht="12.7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</row>
    <row r="874" spans="1:19" ht="12.7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</row>
    <row r="875" spans="1:19" ht="12.7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</row>
    <row r="876" spans="1:19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</sheetData>
  <sheetProtection/>
  <mergeCells count="72">
    <mergeCell ref="A81:A85"/>
    <mergeCell ref="A88:A91"/>
    <mergeCell ref="A97:A101"/>
    <mergeCell ref="A109:A115"/>
    <mergeCell ref="A128:A130"/>
    <mergeCell ref="A461:B461"/>
    <mergeCell ref="A24:S24"/>
    <mergeCell ref="A51:B51"/>
    <mergeCell ref="A52:S52"/>
    <mergeCell ref="A53:A56"/>
    <mergeCell ref="A460:B460"/>
    <mergeCell ref="B292:S292"/>
    <mergeCell ref="A66:A67"/>
    <mergeCell ref="A58:A60"/>
    <mergeCell ref="A458:B458"/>
    <mergeCell ref="A76:A78"/>
    <mergeCell ref="H4:S4"/>
    <mergeCell ref="H3:S3"/>
    <mergeCell ref="H5:S6"/>
    <mergeCell ref="M12:M13"/>
    <mergeCell ref="A47:S47"/>
    <mergeCell ref="A25:A31"/>
    <mergeCell ref="L12:L13"/>
    <mergeCell ref="H12:H13"/>
    <mergeCell ref="C11:C13"/>
    <mergeCell ref="D11:D13"/>
    <mergeCell ref="F11:F13"/>
    <mergeCell ref="G11:I11"/>
    <mergeCell ref="J11:O11"/>
    <mergeCell ref="B1:E1"/>
    <mergeCell ref="H1:S1"/>
    <mergeCell ref="B2:E2"/>
    <mergeCell ref="H2:S2"/>
    <mergeCell ref="E11:E13"/>
    <mergeCell ref="G12:G13"/>
    <mergeCell ref="B4:F4"/>
    <mergeCell ref="O12:O13"/>
    <mergeCell ref="S11:S13"/>
    <mergeCell ref="P11:P13"/>
    <mergeCell ref="N12:N13"/>
    <mergeCell ref="I12:I13"/>
    <mergeCell ref="K12:K13"/>
    <mergeCell ref="C736:E736"/>
    <mergeCell ref="A717:S717"/>
    <mergeCell ref="A733:B733"/>
    <mergeCell ref="A734:B734"/>
    <mergeCell ref="A471:S471"/>
    <mergeCell ref="A486:B486"/>
    <mergeCell ref="A708:A715"/>
    <mergeCell ref="A732:B732"/>
    <mergeCell ref="A731:B731"/>
    <mergeCell ref="A729:B729"/>
    <mergeCell ref="B3:E3"/>
    <mergeCell ref="A50:B50"/>
    <mergeCell ref="A15:S15"/>
    <mergeCell ref="A16:S16"/>
    <mergeCell ref="A11:A13"/>
    <mergeCell ref="B11:B13"/>
    <mergeCell ref="Q10:S10"/>
    <mergeCell ref="I8:Q8"/>
    <mergeCell ref="J12:J13"/>
    <mergeCell ref="Q11:Q13"/>
    <mergeCell ref="A487:S487"/>
    <mergeCell ref="A651:S651"/>
    <mergeCell ref="A699:S699"/>
    <mergeCell ref="A707:S707"/>
    <mergeCell ref="A71:A74"/>
    <mergeCell ref="A462:B462"/>
    <mergeCell ref="A463:B463"/>
    <mergeCell ref="A464:S464"/>
    <mergeCell ref="A465:S465"/>
    <mergeCell ref="A682:S682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  <headerFooter alignWithMargins="0">
    <oddHeader>&amp;C&amp;P</oddHeader>
  </headerFooter>
  <rowBreaks count="10" manualBreakCount="10">
    <brk id="65" max="18" man="1"/>
    <brk id="131" max="18" man="1"/>
    <brk id="165" max="18" man="1"/>
    <brk id="198" max="18" man="1"/>
    <brk id="261" max="18" man="1"/>
    <brk id="366" max="18" man="1"/>
    <brk id="490" max="18" man="1"/>
    <brk id="523" max="18" man="1"/>
    <brk id="650" max="18" man="1"/>
    <brk id="68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993"/>
  <sheetViews>
    <sheetView tabSelected="1" view="pageBreakPreview" zoomScaleSheetLayoutView="100" zoomScalePageLayoutView="0" workbookViewId="0" topLeftCell="A1">
      <pane ySplit="1905" topLeftCell="A658" activePane="bottomLeft" state="split"/>
      <selection pane="topLeft" activeCell="H3" sqref="H3:S3"/>
      <selection pane="bottomLeft" activeCell="S734" sqref="S734"/>
    </sheetView>
  </sheetViews>
  <sheetFormatPr defaultColWidth="9.140625" defaultRowHeight="12.75"/>
  <cols>
    <col min="1" max="1" width="3.00390625" style="0" customWidth="1"/>
    <col min="2" max="2" width="28.140625" style="0" customWidth="1"/>
    <col min="3" max="3" width="6.8515625" style="0" customWidth="1"/>
    <col min="4" max="4" width="5.28125" style="0" customWidth="1"/>
    <col min="5" max="5" width="5.8515625" style="0" customWidth="1"/>
    <col min="6" max="6" width="8.00390625" style="0" customWidth="1"/>
    <col min="7" max="7" width="7.57421875" style="0" customWidth="1"/>
    <col min="8" max="8" width="6.421875" style="0" customWidth="1"/>
    <col min="9" max="10" width="6.8515625" style="0" customWidth="1"/>
    <col min="11" max="11" width="7.00390625" style="0" customWidth="1"/>
    <col min="12" max="12" width="5.421875" style="0" customWidth="1"/>
    <col min="13" max="13" width="6.00390625" style="0" customWidth="1"/>
    <col min="14" max="14" width="4.8515625" style="0" customWidth="1"/>
    <col min="15" max="15" width="6.421875" style="0" customWidth="1"/>
    <col min="16" max="16" width="7.00390625" style="0" customWidth="1"/>
    <col min="17" max="17" width="8.421875" style="0" customWidth="1"/>
    <col min="18" max="18" width="6.140625" style="0" hidden="1" customWidth="1"/>
    <col min="19" max="19" width="9.7109375" style="0" customWidth="1"/>
    <col min="20" max="20" width="12.00390625" style="0" bestFit="1" customWidth="1"/>
    <col min="21" max="21" width="11.140625" style="0" customWidth="1"/>
    <col min="22" max="22" width="9.57421875" style="0" bestFit="1" customWidth="1"/>
  </cols>
  <sheetData>
    <row r="1" spans="1:19" ht="15">
      <c r="A1" s="14"/>
      <c r="B1" s="188" t="s">
        <v>540</v>
      </c>
      <c r="C1" s="188"/>
      <c r="D1" s="188"/>
      <c r="E1" s="188"/>
      <c r="F1" s="17"/>
      <c r="G1" s="17"/>
      <c r="H1" s="189" t="s">
        <v>6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5">
      <c r="A2" s="14"/>
      <c r="B2" s="188" t="s">
        <v>7</v>
      </c>
      <c r="C2" s="188"/>
      <c r="D2" s="188"/>
      <c r="E2" s="188"/>
      <c r="F2" s="17"/>
      <c r="G2" s="17"/>
      <c r="H2" s="190" t="s">
        <v>476</v>
      </c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ht="15">
      <c r="A3" s="14"/>
      <c r="B3" s="169" t="s">
        <v>8</v>
      </c>
      <c r="C3" s="169"/>
      <c r="D3" s="169"/>
      <c r="E3" s="169"/>
      <c r="F3" s="18"/>
      <c r="G3" s="17"/>
      <c r="H3" s="188" t="s">
        <v>577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>
      <c r="A4" s="14"/>
      <c r="B4" s="188" t="s">
        <v>427</v>
      </c>
      <c r="C4" s="188"/>
      <c r="D4" s="188"/>
      <c r="E4" s="188"/>
      <c r="F4" s="188"/>
      <c r="G4" s="17"/>
      <c r="H4" s="191" t="s">
        <v>562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>
      <c r="A5" s="14"/>
      <c r="B5" s="17" t="s">
        <v>324</v>
      </c>
      <c r="C5" s="17"/>
      <c r="D5" s="17"/>
      <c r="E5" s="17"/>
      <c r="F5" s="17"/>
      <c r="G5" s="17"/>
      <c r="H5" s="188" t="s">
        <v>576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>
      <c r="A6" s="14"/>
      <c r="B6" s="17"/>
      <c r="C6" s="17"/>
      <c r="D6" s="17"/>
      <c r="E6" s="17"/>
      <c r="F6" s="17"/>
      <c r="G6" s="17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>
      <c r="A7" s="14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>
      <c r="A8" s="14"/>
      <c r="B8" s="17"/>
      <c r="C8" s="17"/>
      <c r="D8" s="17"/>
      <c r="E8" s="17"/>
      <c r="F8" s="17"/>
      <c r="G8" s="17"/>
      <c r="H8" s="17"/>
      <c r="I8" s="169" t="s">
        <v>479</v>
      </c>
      <c r="J8" s="169"/>
      <c r="K8" s="169"/>
      <c r="L8" s="169"/>
      <c r="M8" s="169"/>
      <c r="N8" s="169"/>
      <c r="O8" s="169"/>
      <c r="P8" s="169"/>
      <c r="Q8" s="169"/>
      <c r="R8" s="18"/>
      <c r="S8" s="18"/>
    </row>
    <row r="9" spans="1:19" ht="15">
      <c r="A9" s="14"/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6">
        <v>42005</v>
      </c>
      <c r="R10" s="176"/>
      <c r="S10" s="176"/>
    </row>
    <row r="11" spans="1:19" ht="12.75" customHeight="1">
      <c r="A11" s="173" t="s">
        <v>272</v>
      </c>
      <c r="B11" s="173" t="s">
        <v>0</v>
      </c>
      <c r="C11" s="173" t="s">
        <v>1</v>
      </c>
      <c r="D11" s="173" t="s">
        <v>319</v>
      </c>
      <c r="E11" s="173" t="s">
        <v>322</v>
      </c>
      <c r="F11" s="173" t="s">
        <v>283</v>
      </c>
      <c r="G11" s="185" t="s">
        <v>2</v>
      </c>
      <c r="H11" s="185"/>
      <c r="I11" s="185"/>
      <c r="J11" s="185" t="s">
        <v>3</v>
      </c>
      <c r="K11" s="185"/>
      <c r="L11" s="185"/>
      <c r="M11" s="185"/>
      <c r="N11" s="185"/>
      <c r="O11" s="185"/>
      <c r="P11" s="185" t="s">
        <v>321</v>
      </c>
      <c r="Q11" s="173" t="s">
        <v>271</v>
      </c>
      <c r="R11" s="19"/>
      <c r="S11" s="173" t="s">
        <v>539</v>
      </c>
    </row>
    <row r="12" spans="1:19" ht="12.75">
      <c r="A12" s="174"/>
      <c r="B12" s="174"/>
      <c r="C12" s="174"/>
      <c r="D12" s="174"/>
      <c r="E12" s="174"/>
      <c r="F12" s="174"/>
      <c r="G12" s="173" t="s">
        <v>263</v>
      </c>
      <c r="H12" s="173" t="s">
        <v>221</v>
      </c>
      <c r="I12" s="186" t="s">
        <v>316</v>
      </c>
      <c r="J12" s="173" t="s">
        <v>286</v>
      </c>
      <c r="K12" s="173" t="s">
        <v>231</v>
      </c>
      <c r="L12" s="173" t="s">
        <v>230</v>
      </c>
      <c r="M12" s="173" t="s">
        <v>4</v>
      </c>
      <c r="N12" s="173" t="s">
        <v>317</v>
      </c>
      <c r="O12" s="183" t="s">
        <v>318</v>
      </c>
      <c r="P12" s="185"/>
      <c r="Q12" s="174"/>
      <c r="R12" s="120"/>
      <c r="S12" s="174"/>
    </row>
    <row r="13" spans="1:20" ht="65.25" customHeight="1">
      <c r="A13" s="175"/>
      <c r="B13" s="175"/>
      <c r="C13" s="175"/>
      <c r="D13" s="175"/>
      <c r="E13" s="175"/>
      <c r="F13" s="175"/>
      <c r="G13" s="175"/>
      <c r="H13" s="175"/>
      <c r="I13" s="187"/>
      <c r="J13" s="175"/>
      <c r="K13" s="175"/>
      <c r="L13" s="175"/>
      <c r="M13" s="175"/>
      <c r="N13" s="175"/>
      <c r="O13" s="184"/>
      <c r="P13" s="185"/>
      <c r="Q13" s="175"/>
      <c r="R13" s="120"/>
      <c r="S13" s="175"/>
      <c r="T13">
        <f>2165900/1.004*0.04</f>
        <v>86290.83665338645</v>
      </c>
    </row>
    <row r="14" spans="1:19" ht="12.75">
      <c r="A14" s="10">
        <v>1</v>
      </c>
      <c r="B14" s="10">
        <f>A14+1</f>
        <v>2</v>
      </c>
      <c r="C14" s="10">
        <f>B14+1</f>
        <v>3</v>
      </c>
      <c r="D14" s="10">
        <f>C14+1</f>
        <v>4</v>
      </c>
      <c r="E14" s="10">
        <f>D14+1</f>
        <v>5</v>
      </c>
      <c r="F14" s="10">
        <v>6</v>
      </c>
      <c r="G14" s="10">
        <f aca="true" t="shared" si="0" ref="G14:R14">F14+1</f>
        <v>7</v>
      </c>
      <c r="H14" s="10">
        <f t="shared" si="0"/>
        <v>8</v>
      </c>
      <c r="I14" s="10">
        <f t="shared" si="0"/>
        <v>9</v>
      </c>
      <c r="J14" s="10">
        <f t="shared" si="0"/>
        <v>10</v>
      </c>
      <c r="K14" s="10">
        <f t="shared" si="0"/>
        <v>11</v>
      </c>
      <c r="L14" s="10">
        <f t="shared" si="0"/>
        <v>12</v>
      </c>
      <c r="M14" s="10">
        <f t="shared" si="0"/>
        <v>13</v>
      </c>
      <c r="N14" s="10">
        <f t="shared" si="0"/>
        <v>14</v>
      </c>
      <c r="O14" s="10">
        <f t="shared" si="0"/>
        <v>15</v>
      </c>
      <c r="P14" s="10">
        <f t="shared" si="0"/>
        <v>16</v>
      </c>
      <c r="Q14" s="10">
        <f t="shared" si="0"/>
        <v>17</v>
      </c>
      <c r="R14" s="10">
        <f t="shared" si="0"/>
        <v>18</v>
      </c>
      <c r="S14" s="10">
        <f>R14</f>
        <v>18</v>
      </c>
    </row>
    <row r="15" spans="1:19" ht="12.75" customHeight="1">
      <c r="A15" s="171" t="s">
        <v>187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</row>
    <row r="16" spans="1:19" ht="12.75" customHeight="1">
      <c r="A16" s="157" t="s">
        <v>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</row>
    <row r="17" spans="1:19" ht="15" customHeight="1">
      <c r="A17" s="10" t="s">
        <v>9</v>
      </c>
      <c r="B17" s="20" t="s">
        <v>561</v>
      </c>
      <c r="C17" s="10">
        <v>1</v>
      </c>
      <c r="D17" s="10">
        <v>24</v>
      </c>
      <c r="E17" s="10">
        <v>3715</v>
      </c>
      <c r="F17" s="10">
        <f aca="true" t="shared" si="1" ref="F17:F22">E17*C17</f>
        <v>3715</v>
      </c>
      <c r="G17" s="11">
        <f>F17*0.15</f>
        <v>557.25</v>
      </c>
      <c r="H17" s="11"/>
      <c r="I17" s="11">
        <f>E17*C17*0.3</f>
        <v>1114.5</v>
      </c>
      <c r="J17" s="11">
        <f>E17*C17*0.2</f>
        <v>743</v>
      </c>
      <c r="K17" s="11">
        <f>E17*0.33*C17</f>
        <v>1225.95</v>
      </c>
      <c r="L17" s="11"/>
      <c r="M17" s="11"/>
      <c r="N17" s="11"/>
      <c r="O17" s="10"/>
      <c r="P17" s="11">
        <f>SUM(G17:O17)</f>
        <v>3640.7</v>
      </c>
      <c r="Q17" s="11">
        <f aca="true" t="shared" si="2" ref="Q17:Q22">SUM(F17:O17)</f>
        <v>7355.7</v>
      </c>
      <c r="R17" s="11">
        <v>12</v>
      </c>
      <c r="S17" s="11">
        <f aca="true" t="shared" si="3" ref="S17:S22">Q17*$R$17</f>
        <v>88268.4</v>
      </c>
    </row>
    <row r="18" spans="1:20" ht="12.75" customHeight="1">
      <c r="A18" s="10" t="s">
        <v>11</v>
      </c>
      <c r="B18" s="21" t="s">
        <v>188</v>
      </c>
      <c r="C18" s="10">
        <v>1</v>
      </c>
      <c r="D18" s="10"/>
      <c r="E18" s="11">
        <v>3344</v>
      </c>
      <c r="F18" s="10">
        <f t="shared" si="1"/>
        <v>3344</v>
      </c>
      <c r="G18" s="22"/>
      <c r="H18" s="11"/>
      <c r="I18" s="11">
        <f>E18*C18*0.3</f>
        <v>1003.1999999999999</v>
      </c>
      <c r="J18" s="11">
        <f>E18*C18*0.2</f>
        <v>668.8000000000001</v>
      </c>
      <c r="K18" s="11">
        <f>E18*0.33*C18</f>
        <v>1103.52</v>
      </c>
      <c r="L18" s="11"/>
      <c r="M18" s="11"/>
      <c r="N18" s="11"/>
      <c r="O18" s="10"/>
      <c r="P18" s="11">
        <f>SUM(G18:O18)</f>
        <v>2775.52</v>
      </c>
      <c r="Q18" s="11">
        <f t="shared" si="2"/>
        <v>6119.52</v>
      </c>
      <c r="R18" s="11"/>
      <c r="S18" s="11">
        <f t="shared" si="3"/>
        <v>73434.24</v>
      </c>
      <c r="T18" s="108"/>
    </row>
    <row r="19" spans="1:19" ht="12.75" customHeight="1">
      <c r="A19" s="10" t="s">
        <v>10</v>
      </c>
      <c r="B19" s="21" t="s">
        <v>558</v>
      </c>
      <c r="C19" s="10">
        <v>1</v>
      </c>
      <c r="D19" s="10"/>
      <c r="E19" s="11">
        <v>3344</v>
      </c>
      <c r="F19" s="10">
        <f t="shared" si="1"/>
        <v>3344</v>
      </c>
      <c r="G19" s="11"/>
      <c r="H19" s="11">
        <f>E19*0.2*C19</f>
        <v>668.8000000000001</v>
      </c>
      <c r="I19" s="11">
        <f>E19*C19*0.3</f>
        <v>1003.1999999999999</v>
      </c>
      <c r="J19" s="11">
        <f>E19*C19*0.2</f>
        <v>668.8000000000001</v>
      </c>
      <c r="K19" s="11">
        <f>E19*0.33*C19</f>
        <v>1103.52</v>
      </c>
      <c r="L19" s="11"/>
      <c r="M19" s="11"/>
      <c r="N19" s="11"/>
      <c r="O19" s="10"/>
      <c r="P19" s="11">
        <f>SUM(G19:O19)</f>
        <v>3444.32</v>
      </c>
      <c r="Q19" s="11">
        <f t="shared" si="2"/>
        <v>6788.32</v>
      </c>
      <c r="R19" s="11"/>
      <c r="S19" s="11">
        <f t="shared" si="3"/>
        <v>81459.84</v>
      </c>
    </row>
    <row r="20" spans="1:19" ht="12.75" customHeight="1">
      <c r="A20" s="10" t="s">
        <v>13</v>
      </c>
      <c r="B20" s="21" t="s">
        <v>12</v>
      </c>
      <c r="C20" s="10">
        <v>1</v>
      </c>
      <c r="D20" s="10"/>
      <c r="E20" s="11">
        <v>3344</v>
      </c>
      <c r="F20" s="10">
        <f t="shared" si="1"/>
        <v>3344</v>
      </c>
      <c r="G20" s="11"/>
      <c r="H20" s="11"/>
      <c r="I20" s="11"/>
      <c r="J20" s="11"/>
      <c r="K20" s="11"/>
      <c r="L20" s="11"/>
      <c r="M20" s="11"/>
      <c r="N20" s="11"/>
      <c r="O20" s="10"/>
      <c r="P20" s="11"/>
      <c r="Q20" s="11">
        <f t="shared" si="2"/>
        <v>3344</v>
      </c>
      <c r="R20" s="11"/>
      <c r="S20" s="11">
        <f t="shared" si="3"/>
        <v>40128</v>
      </c>
    </row>
    <row r="21" spans="1:19" ht="12.75" customHeight="1">
      <c r="A21" s="10" t="s">
        <v>19</v>
      </c>
      <c r="B21" s="21" t="s">
        <v>200</v>
      </c>
      <c r="C21" s="7">
        <v>2</v>
      </c>
      <c r="D21" s="7">
        <v>21</v>
      </c>
      <c r="E21" s="10">
        <v>3280</v>
      </c>
      <c r="F21" s="10">
        <f t="shared" si="1"/>
        <v>6560</v>
      </c>
      <c r="G21" s="4"/>
      <c r="H21" s="11">
        <f>E21*0.2</f>
        <v>656</v>
      </c>
      <c r="I21" s="11">
        <f>E21*C21*0.3</f>
        <v>1968</v>
      </c>
      <c r="J21" s="11">
        <f>E21*C21*0.2</f>
        <v>1312</v>
      </c>
      <c r="K21" s="11">
        <f>E21*0.33*C21</f>
        <v>2164.8</v>
      </c>
      <c r="L21" s="23"/>
      <c r="M21" s="4"/>
      <c r="N21" s="4"/>
      <c r="O21" s="7"/>
      <c r="P21" s="11">
        <f>SUM(G21:O21)</f>
        <v>6100.8</v>
      </c>
      <c r="Q21" s="11">
        <f t="shared" si="2"/>
        <v>12660.8</v>
      </c>
      <c r="R21" s="11"/>
      <c r="S21" s="11">
        <f t="shared" si="3"/>
        <v>151929.59999999998</v>
      </c>
    </row>
    <row r="22" spans="1:19" ht="12.75" customHeight="1">
      <c r="A22" s="10" t="s">
        <v>20</v>
      </c>
      <c r="B22" s="21" t="s">
        <v>201</v>
      </c>
      <c r="C22" s="10">
        <v>4</v>
      </c>
      <c r="D22" s="10">
        <v>21</v>
      </c>
      <c r="E22" s="10">
        <v>3280</v>
      </c>
      <c r="F22" s="10">
        <f t="shared" si="1"/>
        <v>13120</v>
      </c>
      <c r="G22" s="11"/>
      <c r="H22" s="11"/>
      <c r="I22" s="11">
        <f>E22*2*0.2+E22*0.3*3</f>
        <v>4264</v>
      </c>
      <c r="J22" s="11">
        <f>E22*C22*0.15</f>
        <v>1968</v>
      </c>
      <c r="K22" s="11">
        <f>E22*0.25*C22</f>
        <v>3280</v>
      </c>
      <c r="L22" s="11"/>
      <c r="M22" s="11"/>
      <c r="N22" s="11"/>
      <c r="O22" s="10"/>
      <c r="P22" s="11">
        <f>SUM(G22:O22)</f>
        <v>9512</v>
      </c>
      <c r="Q22" s="11">
        <f t="shared" si="2"/>
        <v>22632</v>
      </c>
      <c r="R22" s="11"/>
      <c r="S22" s="11">
        <f t="shared" si="3"/>
        <v>271584</v>
      </c>
    </row>
    <row r="23" spans="1:21" ht="12.75" customHeight="1">
      <c r="A23" s="10"/>
      <c r="B23" s="21" t="s">
        <v>14</v>
      </c>
      <c r="C23" s="10">
        <f>SUM(C17:C22)</f>
        <v>10</v>
      </c>
      <c r="D23" s="10"/>
      <c r="E23" s="10"/>
      <c r="F23" s="10">
        <f aca="true" t="shared" si="4" ref="F23:K23">SUM(F17:F22)</f>
        <v>33427</v>
      </c>
      <c r="G23" s="11">
        <f t="shared" si="4"/>
        <v>557.25</v>
      </c>
      <c r="H23" s="11">
        <f t="shared" si="4"/>
        <v>1324.8000000000002</v>
      </c>
      <c r="I23" s="11">
        <f t="shared" si="4"/>
        <v>9352.9</v>
      </c>
      <c r="J23" s="11">
        <f t="shared" si="4"/>
        <v>5360.6</v>
      </c>
      <c r="K23" s="11">
        <f t="shared" si="4"/>
        <v>8877.79</v>
      </c>
      <c r="L23" s="11"/>
      <c r="M23" s="11"/>
      <c r="N23" s="11"/>
      <c r="O23" s="11"/>
      <c r="P23" s="11">
        <f>SUM(P17:P22)</f>
        <v>25473.34</v>
      </c>
      <c r="Q23" s="11">
        <f>SUM(Q17:Q22)</f>
        <v>58900.34</v>
      </c>
      <c r="R23" s="11">
        <f>SUM(R17:R22)</f>
        <v>12</v>
      </c>
      <c r="S23" s="11">
        <f>SUM(S17:S22)</f>
        <v>706804.08</v>
      </c>
      <c r="U23" s="12"/>
    </row>
    <row r="24" spans="1:19" ht="12.75" customHeight="1">
      <c r="A24" s="157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95"/>
      <c r="Q24" s="195"/>
      <c r="R24" s="195"/>
      <c r="S24" s="196"/>
    </row>
    <row r="25" spans="1:19" ht="12.75" customHeight="1">
      <c r="A25" s="192">
        <v>1</v>
      </c>
      <c r="B25" s="24" t="s">
        <v>545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>
      <c r="A26" s="193"/>
      <c r="B26" s="25" t="s">
        <v>546</v>
      </c>
      <c r="C26" s="7">
        <v>2</v>
      </c>
      <c r="D26" s="7">
        <v>21</v>
      </c>
      <c r="E26" s="7">
        <v>3280</v>
      </c>
      <c r="F26" s="7">
        <f>E26*C26</f>
        <v>6560</v>
      </c>
      <c r="G26" s="7"/>
      <c r="H26" s="4">
        <f>F26*0.2</f>
        <v>1312</v>
      </c>
      <c r="I26" s="4">
        <f>F26*0.3</f>
        <v>1968</v>
      </c>
      <c r="J26" s="4">
        <f>F26*0.2</f>
        <v>1312</v>
      </c>
      <c r="K26" s="4">
        <f>F26*0.33</f>
        <v>2164.8</v>
      </c>
      <c r="L26" s="4"/>
      <c r="M26" s="4"/>
      <c r="N26" s="4"/>
      <c r="O26" s="4"/>
      <c r="P26" s="4">
        <f aca="true" t="shared" si="5" ref="P26:P45">SUM(G26:O26)</f>
        <v>6756.8</v>
      </c>
      <c r="Q26" s="4">
        <f aca="true" t="shared" si="6" ref="Q26:Q45">SUM(F26:O26)</f>
        <v>13316.8</v>
      </c>
      <c r="R26" s="4"/>
      <c r="S26" s="4">
        <f aca="true" t="shared" si="7" ref="S26:S45">Q26*$R$17</f>
        <v>159801.59999999998</v>
      </c>
    </row>
    <row r="27" spans="1:19" ht="12.75" customHeight="1">
      <c r="A27" s="193"/>
      <c r="B27" s="25" t="s">
        <v>371</v>
      </c>
      <c r="C27" s="7">
        <v>26</v>
      </c>
      <c r="D27" s="7">
        <v>21</v>
      </c>
      <c r="E27" s="7">
        <v>3280</v>
      </c>
      <c r="F27" s="7">
        <f>E27*C27</f>
        <v>85280</v>
      </c>
      <c r="G27" s="7"/>
      <c r="H27" s="4"/>
      <c r="I27" s="4">
        <f>F27*0.25</f>
        <v>21320</v>
      </c>
      <c r="J27" s="4">
        <f>F27*0.2-186</f>
        <v>16870</v>
      </c>
      <c r="K27" s="4">
        <f>F27*0.33</f>
        <v>28142.4</v>
      </c>
      <c r="L27" s="4"/>
      <c r="M27" s="4"/>
      <c r="N27" s="4"/>
      <c r="O27" s="4"/>
      <c r="P27" s="4">
        <f t="shared" si="5"/>
        <v>66332.4</v>
      </c>
      <c r="Q27" s="4">
        <f t="shared" si="6"/>
        <v>151612.4</v>
      </c>
      <c r="R27" s="4"/>
      <c r="S27" s="4">
        <f t="shared" si="7"/>
        <v>1819348.7999999998</v>
      </c>
    </row>
    <row r="28" spans="1:19" ht="12.75" customHeight="1">
      <c r="A28" s="193"/>
      <c r="B28" s="25" t="s">
        <v>372</v>
      </c>
      <c r="C28" s="7">
        <v>3</v>
      </c>
      <c r="D28" s="7">
        <v>20</v>
      </c>
      <c r="E28" s="7">
        <v>3101</v>
      </c>
      <c r="F28" s="7">
        <f aca="true" t="shared" si="8" ref="F28:F45">E28*C28</f>
        <v>9303</v>
      </c>
      <c r="G28" s="7"/>
      <c r="H28" s="4"/>
      <c r="I28" s="4">
        <f>F28*0.3</f>
        <v>2790.9</v>
      </c>
      <c r="J28" s="4">
        <f>E28*C28*0.15</f>
        <v>1395.45</v>
      </c>
      <c r="K28" s="4">
        <f>E28*0.33*C28</f>
        <v>3069.9900000000002</v>
      </c>
      <c r="L28" s="4"/>
      <c r="M28" s="4"/>
      <c r="N28" s="4"/>
      <c r="O28" s="4"/>
      <c r="P28" s="4">
        <f t="shared" si="5"/>
        <v>7256.34</v>
      </c>
      <c r="Q28" s="4">
        <f t="shared" si="6"/>
        <v>16559.34</v>
      </c>
      <c r="R28" s="4"/>
      <c r="S28" s="4">
        <f t="shared" si="7"/>
        <v>198712.08000000002</v>
      </c>
    </row>
    <row r="29" spans="1:19" ht="12.75" customHeight="1">
      <c r="A29" s="193"/>
      <c r="B29" s="25" t="s">
        <v>557</v>
      </c>
      <c r="C29" s="7">
        <v>2</v>
      </c>
      <c r="D29" s="7">
        <v>19</v>
      </c>
      <c r="E29" s="7">
        <v>2377</v>
      </c>
      <c r="F29" s="7">
        <f t="shared" si="8"/>
        <v>4754</v>
      </c>
      <c r="G29" s="7"/>
      <c r="H29" s="4"/>
      <c r="I29" s="4">
        <f>E29*C29*0.3</f>
        <v>1426.2</v>
      </c>
      <c r="J29" s="4">
        <f>E29*C29*0.2+268</f>
        <v>1218.8000000000002</v>
      </c>
      <c r="K29" s="4">
        <f>E29*0.25*C29+268</f>
        <v>1456.5</v>
      </c>
      <c r="L29" s="4">
        <f>E29*C29*0.17</f>
        <v>808.1800000000001</v>
      </c>
      <c r="M29" s="4"/>
      <c r="N29" s="4"/>
      <c r="O29" s="4"/>
      <c r="P29" s="4">
        <f t="shared" si="5"/>
        <v>4909.68</v>
      </c>
      <c r="Q29" s="4">
        <f t="shared" si="6"/>
        <v>9663.68</v>
      </c>
      <c r="R29" s="4"/>
      <c r="S29" s="4">
        <f t="shared" si="7"/>
        <v>115964.16</v>
      </c>
    </row>
    <row r="30" spans="1:19" ht="12.75" customHeight="1">
      <c r="A30" s="193"/>
      <c r="B30" s="25" t="s">
        <v>473</v>
      </c>
      <c r="C30" s="7">
        <v>6</v>
      </c>
      <c r="D30" s="7">
        <v>19</v>
      </c>
      <c r="E30" s="7">
        <v>2914</v>
      </c>
      <c r="F30" s="7">
        <f t="shared" si="8"/>
        <v>17484</v>
      </c>
      <c r="G30" s="7"/>
      <c r="H30" s="4"/>
      <c r="I30" s="4">
        <f>E30*C30*0.3</f>
        <v>5245.2</v>
      </c>
      <c r="J30" s="4">
        <f>E30*C30*0.15</f>
        <v>2622.6</v>
      </c>
      <c r="K30" s="4">
        <f>E30*C30*0.25</f>
        <v>4371</v>
      </c>
      <c r="L30" s="4">
        <f>E30*C30*0.055-25</f>
        <v>936.62</v>
      </c>
      <c r="M30" s="4"/>
      <c r="N30" s="4"/>
      <c r="O30" s="4"/>
      <c r="P30" s="4">
        <f t="shared" si="5"/>
        <v>13175.42</v>
      </c>
      <c r="Q30" s="4">
        <f t="shared" si="6"/>
        <v>30659.42</v>
      </c>
      <c r="R30" s="4"/>
      <c r="S30" s="4">
        <f t="shared" si="7"/>
        <v>367913.04</v>
      </c>
    </row>
    <row r="31" spans="1:20" ht="24.75" customHeight="1">
      <c r="A31" s="194"/>
      <c r="B31" s="53" t="s">
        <v>560</v>
      </c>
      <c r="C31" s="8">
        <v>2</v>
      </c>
      <c r="D31" s="8">
        <v>17</v>
      </c>
      <c r="E31" s="8">
        <v>2556</v>
      </c>
      <c r="F31" s="8">
        <f t="shared" si="8"/>
        <v>5112</v>
      </c>
      <c r="G31" s="8"/>
      <c r="H31" s="9">
        <f>E31*1*0.1</f>
        <v>255.60000000000002</v>
      </c>
      <c r="I31" s="9">
        <f>E31*C31*0.3</f>
        <v>1533.6</v>
      </c>
      <c r="J31" s="9">
        <f>E31*0.15</f>
        <v>383.4</v>
      </c>
      <c r="K31" s="9"/>
      <c r="L31" s="9">
        <f>E31*C31*0.1</f>
        <v>511.20000000000005</v>
      </c>
      <c r="M31" s="9"/>
      <c r="N31" s="9"/>
      <c r="O31" s="9"/>
      <c r="P31" s="9">
        <f t="shared" si="5"/>
        <v>2683.8</v>
      </c>
      <c r="Q31" s="9">
        <f t="shared" si="6"/>
        <v>7795.8</v>
      </c>
      <c r="R31" s="9"/>
      <c r="S31" s="9">
        <f t="shared" si="7"/>
        <v>93549.6</v>
      </c>
      <c r="T31" s="12"/>
    </row>
    <row r="32" spans="1:20" ht="12.75" customHeight="1">
      <c r="A32" s="10">
        <v>2</v>
      </c>
      <c r="B32" s="21" t="s">
        <v>17</v>
      </c>
      <c r="C32" s="48">
        <v>14.25</v>
      </c>
      <c r="D32" s="10">
        <v>20</v>
      </c>
      <c r="E32" s="10">
        <v>3101</v>
      </c>
      <c r="F32" s="11">
        <f t="shared" si="8"/>
        <v>44189.25</v>
      </c>
      <c r="G32" s="10"/>
      <c r="H32" s="11"/>
      <c r="I32" s="11">
        <f>E32*C32*0.3-215.04</f>
        <v>13041.734999999999</v>
      </c>
      <c r="J32" s="11">
        <f>E32*C32*0.2</f>
        <v>8837.85</v>
      </c>
      <c r="K32" s="11">
        <f>E32*C32*0.22</f>
        <v>9721.635</v>
      </c>
      <c r="L32" s="11"/>
      <c r="M32" s="11"/>
      <c r="N32" s="11"/>
      <c r="O32" s="11"/>
      <c r="P32" s="11">
        <f t="shared" si="5"/>
        <v>31601.22</v>
      </c>
      <c r="Q32" s="11">
        <f t="shared" si="6"/>
        <v>75790.47</v>
      </c>
      <c r="R32" s="11"/>
      <c r="S32" s="11">
        <f t="shared" si="7"/>
        <v>909485.64</v>
      </c>
      <c r="T32" s="12"/>
    </row>
    <row r="33" spans="1:20" ht="12.75" customHeight="1">
      <c r="A33" s="10">
        <f aca="true" t="shared" si="9" ref="A33:A45">A32+1</f>
        <v>3</v>
      </c>
      <c r="B33" s="21" t="s">
        <v>24</v>
      </c>
      <c r="C33" s="48">
        <v>3.75</v>
      </c>
      <c r="D33" s="10">
        <v>20</v>
      </c>
      <c r="E33" s="10">
        <v>3101</v>
      </c>
      <c r="F33" s="10">
        <f t="shared" si="8"/>
        <v>11628.75</v>
      </c>
      <c r="G33" s="10"/>
      <c r="H33" s="11"/>
      <c r="I33" s="11">
        <f>E33*C33*0.3</f>
        <v>3488.625</v>
      </c>
      <c r="J33" s="11">
        <f>E33*C33*0.15</f>
        <v>1744.3125</v>
      </c>
      <c r="K33" s="11">
        <f>E33*C33*0.33</f>
        <v>3837.4875</v>
      </c>
      <c r="L33" s="11"/>
      <c r="M33" s="11"/>
      <c r="N33" s="11"/>
      <c r="O33" s="11"/>
      <c r="P33" s="11">
        <f t="shared" si="5"/>
        <v>9070.425</v>
      </c>
      <c r="Q33" s="11">
        <f t="shared" si="6"/>
        <v>20699.175</v>
      </c>
      <c r="R33" s="11"/>
      <c r="S33" s="11">
        <f t="shared" si="7"/>
        <v>248390.09999999998</v>
      </c>
      <c r="T33" s="12"/>
    </row>
    <row r="34" spans="1:20" ht="12.75" customHeight="1">
      <c r="A34" s="10">
        <f t="shared" si="9"/>
        <v>4</v>
      </c>
      <c r="B34" s="21" t="s">
        <v>211</v>
      </c>
      <c r="C34" s="48">
        <v>15.25</v>
      </c>
      <c r="D34" s="10">
        <v>19</v>
      </c>
      <c r="E34" s="10">
        <v>2914</v>
      </c>
      <c r="F34" s="10">
        <f t="shared" si="8"/>
        <v>44438.5</v>
      </c>
      <c r="G34" s="10"/>
      <c r="H34" s="11"/>
      <c r="I34" s="11">
        <f>E34*C34*0.2</f>
        <v>8887.7</v>
      </c>
      <c r="J34" s="11">
        <f>E34*C34*0.15</f>
        <v>6665.775</v>
      </c>
      <c r="K34" s="11">
        <f>E34*C34*0.22</f>
        <v>9776.47</v>
      </c>
      <c r="L34" s="11"/>
      <c r="M34" s="11"/>
      <c r="N34" s="11"/>
      <c r="O34" s="11"/>
      <c r="P34" s="11">
        <f t="shared" si="5"/>
        <v>25329.945</v>
      </c>
      <c r="Q34" s="11">
        <f t="shared" si="6"/>
        <v>69768.44499999999</v>
      </c>
      <c r="R34" s="11"/>
      <c r="S34" s="11">
        <f t="shared" si="7"/>
        <v>837221.3399999999</v>
      </c>
      <c r="T34" s="12"/>
    </row>
    <row r="35" spans="1:20" ht="12.75" customHeight="1">
      <c r="A35" s="10">
        <f t="shared" si="9"/>
        <v>5</v>
      </c>
      <c r="B35" s="21" t="s">
        <v>18</v>
      </c>
      <c r="C35" s="11">
        <v>105</v>
      </c>
      <c r="D35" s="10">
        <v>19</v>
      </c>
      <c r="E35" s="10">
        <v>2914</v>
      </c>
      <c r="F35" s="10">
        <f t="shared" si="8"/>
        <v>305970</v>
      </c>
      <c r="G35" s="10"/>
      <c r="H35" s="11">
        <f>E35*0.2*1</f>
        <v>582.8000000000001</v>
      </c>
      <c r="I35" s="11">
        <f>F35*0.23-557</f>
        <v>69816.1</v>
      </c>
      <c r="J35" s="11">
        <f>E35*C35*0.15</f>
        <v>45895.5</v>
      </c>
      <c r="K35" s="11">
        <f>E35*C35*0.22</f>
        <v>67313.4</v>
      </c>
      <c r="L35" s="11"/>
      <c r="M35" s="11">
        <f>E35*5*0.3</f>
        <v>4371</v>
      </c>
      <c r="N35" s="11"/>
      <c r="O35" s="11"/>
      <c r="P35" s="11">
        <f>SUM(G35:O35)</f>
        <v>187978.8</v>
      </c>
      <c r="Q35" s="11">
        <f t="shared" si="6"/>
        <v>493948.80000000005</v>
      </c>
      <c r="R35" s="11"/>
      <c r="S35" s="11">
        <f t="shared" si="7"/>
        <v>5927385.600000001</v>
      </c>
      <c r="T35" s="12"/>
    </row>
    <row r="36" spans="1:20" ht="12.75" customHeight="1">
      <c r="A36" s="10">
        <f t="shared" si="9"/>
        <v>6</v>
      </c>
      <c r="B36" s="21" t="s">
        <v>224</v>
      </c>
      <c r="C36" s="48">
        <v>4.5</v>
      </c>
      <c r="D36" s="10">
        <v>19</v>
      </c>
      <c r="E36" s="10">
        <v>2914</v>
      </c>
      <c r="F36" s="10">
        <f t="shared" si="8"/>
        <v>13113</v>
      </c>
      <c r="G36" s="48"/>
      <c r="H36" s="11"/>
      <c r="I36" s="11">
        <f>E36*C36*0.3</f>
        <v>3933.8999999999996</v>
      </c>
      <c r="J36" s="11"/>
      <c r="K36" s="11">
        <f>E36*C36*0.25</f>
        <v>3278.25</v>
      </c>
      <c r="L36" s="56"/>
      <c r="M36" s="11"/>
      <c r="N36" s="11"/>
      <c r="O36" s="11"/>
      <c r="P36" s="11">
        <f t="shared" si="5"/>
        <v>7212.15</v>
      </c>
      <c r="Q36" s="11">
        <f t="shared" si="6"/>
        <v>20325.15</v>
      </c>
      <c r="R36" s="11"/>
      <c r="S36" s="11">
        <f t="shared" si="7"/>
        <v>243901.80000000002</v>
      </c>
      <c r="T36" s="12"/>
    </row>
    <row r="37" spans="1:20" ht="12.75" customHeight="1">
      <c r="A37" s="10">
        <f t="shared" si="9"/>
        <v>7</v>
      </c>
      <c r="B37" s="21" t="s">
        <v>475</v>
      </c>
      <c r="C37" s="48">
        <v>5.25</v>
      </c>
      <c r="D37" s="10">
        <v>19</v>
      </c>
      <c r="E37" s="10">
        <v>2914</v>
      </c>
      <c r="F37" s="10">
        <f t="shared" si="8"/>
        <v>15298.5</v>
      </c>
      <c r="G37" s="10"/>
      <c r="H37" s="11"/>
      <c r="I37" s="11">
        <f>E37*C37*0.2</f>
        <v>3059.7000000000003</v>
      </c>
      <c r="J37" s="11">
        <f>E37*C37*0.15</f>
        <v>2294.775</v>
      </c>
      <c r="K37" s="11"/>
      <c r="L37" s="11"/>
      <c r="M37" s="11"/>
      <c r="N37" s="11"/>
      <c r="O37" s="11"/>
      <c r="P37" s="11">
        <f t="shared" si="5"/>
        <v>5354.475</v>
      </c>
      <c r="Q37" s="11">
        <f t="shared" si="6"/>
        <v>20652.975000000002</v>
      </c>
      <c r="R37" s="11"/>
      <c r="S37" s="11">
        <f t="shared" si="7"/>
        <v>247835.7</v>
      </c>
      <c r="T37" s="12"/>
    </row>
    <row r="38" spans="1:20" ht="12.75" customHeight="1">
      <c r="A38" s="10">
        <f t="shared" si="9"/>
        <v>8</v>
      </c>
      <c r="B38" s="21" t="s">
        <v>210</v>
      </c>
      <c r="C38" s="48">
        <v>18.25</v>
      </c>
      <c r="D38" s="10">
        <v>16</v>
      </c>
      <c r="E38" s="10">
        <v>2377</v>
      </c>
      <c r="F38" s="10">
        <f t="shared" si="8"/>
        <v>43380.25</v>
      </c>
      <c r="G38" s="10"/>
      <c r="H38" s="11"/>
      <c r="I38" s="11">
        <f>E38*C38*0.1</f>
        <v>4338.025000000001</v>
      </c>
      <c r="J38" s="11">
        <f>E38*10.75*0.15</f>
        <v>3832.9125</v>
      </c>
      <c r="K38" s="11"/>
      <c r="L38" s="11"/>
      <c r="M38" s="11">
        <v>5170</v>
      </c>
      <c r="N38" s="11"/>
      <c r="O38" s="11"/>
      <c r="P38" s="11">
        <f t="shared" si="5"/>
        <v>13340.9375</v>
      </c>
      <c r="Q38" s="11">
        <f t="shared" si="6"/>
        <v>56721.1875</v>
      </c>
      <c r="R38" s="11"/>
      <c r="S38" s="11">
        <f t="shared" si="7"/>
        <v>680654.25</v>
      </c>
      <c r="T38" s="12"/>
    </row>
    <row r="39" spans="1:20" ht="12.75" customHeight="1">
      <c r="A39" s="10">
        <f t="shared" si="9"/>
        <v>9</v>
      </c>
      <c r="B39" s="21" t="s">
        <v>16</v>
      </c>
      <c r="C39" s="11">
        <v>5</v>
      </c>
      <c r="D39" s="10">
        <v>17</v>
      </c>
      <c r="E39" s="10">
        <v>2556</v>
      </c>
      <c r="F39" s="10">
        <f t="shared" si="8"/>
        <v>12780</v>
      </c>
      <c r="G39" s="10"/>
      <c r="H39" s="11"/>
      <c r="I39" s="11">
        <f>E39*C39*0.1</f>
        <v>1278</v>
      </c>
      <c r="J39" s="11"/>
      <c r="K39" s="11"/>
      <c r="L39" s="11"/>
      <c r="M39" s="11"/>
      <c r="N39" s="11"/>
      <c r="O39" s="11"/>
      <c r="P39" s="11">
        <f t="shared" si="5"/>
        <v>1278</v>
      </c>
      <c r="Q39" s="11">
        <f t="shared" si="6"/>
        <v>14058</v>
      </c>
      <c r="R39" s="11"/>
      <c r="S39" s="11">
        <f t="shared" si="7"/>
        <v>168696</v>
      </c>
      <c r="T39" s="12"/>
    </row>
    <row r="40" spans="1:20" ht="12.75" customHeight="1">
      <c r="A40" s="10">
        <f t="shared" si="9"/>
        <v>10</v>
      </c>
      <c r="B40" s="20" t="s">
        <v>548</v>
      </c>
      <c r="C40" s="22">
        <v>0.5</v>
      </c>
      <c r="D40" s="10">
        <v>17</v>
      </c>
      <c r="E40" s="10">
        <v>2556</v>
      </c>
      <c r="F40" s="10">
        <f t="shared" si="8"/>
        <v>1278</v>
      </c>
      <c r="G40" s="10"/>
      <c r="H40" s="11">
        <f>E40*C40*0.15</f>
        <v>191.7</v>
      </c>
      <c r="I40" s="11">
        <f>E40*C40*0.3</f>
        <v>383.4</v>
      </c>
      <c r="J40" s="11"/>
      <c r="K40" s="11"/>
      <c r="L40" s="11"/>
      <c r="M40" s="11"/>
      <c r="N40" s="11"/>
      <c r="O40" s="11"/>
      <c r="P40" s="11">
        <f t="shared" si="5"/>
        <v>575.0999999999999</v>
      </c>
      <c r="Q40" s="11">
        <f t="shared" si="6"/>
        <v>1853.1</v>
      </c>
      <c r="R40" s="11"/>
      <c r="S40" s="11">
        <f t="shared" si="7"/>
        <v>22237.199999999997</v>
      </c>
      <c r="T40" s="12"/>
    </row>
    <row r="41" spans="1:20" ht="12.75" customHeight="1">
      <c r="A41" s="10">
        <f t="shared" si="9"/>
        <v>11</v>
      </c>
      <c r="B41" s="20" t="s">
        <v>549</v>
      </c>
      <c r="C41" s="11">
        <v>2</v>
      </c>
      <c r="D41" s="10">
        <v>17</v>
      </c>
      <c r="E41" s="10">
        <v>2556</v>
      </c>
      <c r="F41" s="10">
        <f t="shared" si="8"/>
        <v>5112</v>
      </c>
      <c r="G41" s="11"/>
      <c r="H41" s="11">
        <f>E41*C41*0.1</f>
        <v>511.20000000000005</v>
      </c>
      <c r="I41" s="11">
        <f>E41*0.1+E41*0.2</f>
        <v>766.8000000000001</v>
      </c>
      <c r="J41" s="11"/>
      <c r="K41" s="11"/>
      <c r="L41" s="11"/>
      <c r="M41" s="11"/>
      <c r="N41" s="11"/>
      <c r="O41" s="11"/>
      <c r="P41" s="11">
        <f t="shared" si="5"/>
        <v>1278</v>
      </c>
      <c r="Q41" s="11">
        <f t="shared" si="6"/>
        <v>6390</v>
      </c>
      <c r="R41" s="11"/>
      <c r="S41" s="11">
        <f t="shared" si="7"/>
        <v>76680</v>
      </c>
      <c r="T41" s="12"/>
    </row>
    <row r="42" spans="1:20" ht="12.75" customHeight="1">
      <c r="A42" s="10">
        <f t="shared" si="9"/>
        <v>12</v>
      </c>
      <c r="B42" s="20" t="s">
        <v>27</v>
      </c>
      <c r="C42" s="11">
        <v>29</v>
      </c>
      <c r="D42" s="10">
        <v>17</v>
      </c>
      <c r="E42" s="10">
        <v>2556</v>
      </c>
      <c r="F42" s="10">
        <f t="shared" si="8"/>
        <v>74124</v>
      </c>
      <c r="G42" s="10"/>
      <c r="H42" s="11"/>
      <c r="I42" s="11">
        <f>E42*C42*0.21+634.4</f>
        <v>16200.439999999999</v>
      </c>
      <c r="J42" s="11"/>
      <c r="K42" s="11"/>
      <c r="L42" s="11"/>
      <c r="M42" s="11">
        <f>E42*2*0.3</f>
        <v>1533.6</v>
      </c>
      <c r="N42" s="11"/>
      <c r="O42" s="11"/>
      <c r="P42" s="11">
        <f t="shared" si="5"/>
        <v>17734.039999999997</v>
      </c>
      <c r="Q42" s="11">
        <f t="shared" si="6"/>
        <v>91858.04000000001</v>
      </c>
      <c r="R42" s="11"/>
      <c r="S42" s="11">
        <f t="shared" si="7"/>
        <v>1102296.48</v>
      </c>
      <c r="T42" s="12"/>
    </row>
    <row r="43" spans="1:20" ht="12.75" customHeight="1">
      <c r="A43" s="10">
        <f t="shared" si="9"/>
        <v>13</v>
      </c>
      <c r="B43" s="26" t="s">
        <v>184</v>
      </c>
      <c r="C43" s="48">
        <v>1.25</v>
      </c>
      <c r="D43" s="10">
        <v>16</v>
      </c>
      <c r="E43" s="10">
        <v>2377</v>
      </c>
      <c r="F43" s="10">
        <f t="shared" si="8"/>
        <v>2971.25</v>
      </c>
      <c r="G43" s="11"/>
      <c r="H43" s="11">
        <f>E43*C43*0.1</f>
        <v>297.125</v>
      </c>
      <c r="I43" s="11">
        <f>E43*C43*0.1</f>
        <v>297.125</v>
      </c>
      <c r="J43" s="11"/>
      <c r="K43" s="11"/>
      <c r="L43" s="11"/>
      <c r="M43" s="11"/>
      <c r="N43" s="11"/>
      <c r="O43" s="11"/>
      <c r="P43" s="11">
        <f t="shared" si="5"/>
        <v>594.25</v>
      </c>
      <c r="Q43" s="11">
        <f t="shared" si="6"/>
        <v>3565.5</v>
      </c>
      <c r="R43" s="11"/>
      <c r="S43" s="11">
        <f t="shared" si="7"/>
        <v>42786</v>
      </c>
      <c r="T43" s="12"/>
    </row>
    <row r="44" spans="1:21" ht="12.75" customHeight="1">
      <c r="A44" s="10">
        <f t="shared" si="9"/>
        <v>14</v>
      </c>
      <c r="B44" s="26" t="s">
        <v>186</v>
      </c>
      <c r="C44" s="48">
        <f>2.75+0.3</f>
        <v>3.05</v>
      </c>
      <c r="D44" s="10">
        <v>16</v>
      </c>
      <c r="E44" s="10">
        <v>2377</v>
      </c>
      <c r="F44" s="10">
        <f t="shared" si="8"/>
        <v>7249.849999999999</v>
      </c>
      <c r="G44" s="10"/>
      <c r="H44" s="11"/>
      <c r="I44" s="11">
        <f>E44*C44*0.1</f>
        <v>724.985</v>
      </c>
      <c r="J44" s="11"/>
      <c r="K44" s="11"/>
      <c r="L44" s="11"/>
      <c r="M44" s="11"/>
      <c r="N44" s="11"/>
      <c r="O44" s="11"/>
      <c r="P44" s="11">
        <f t="shared" si="5"/>
        <v>724.985</v>
      </c>
      <c r="Q44" s="11">
        <f t="shared" si="6"/>
        <v>7974.834999999999</v>
      </c>
      <c r="R44" s="11"/>
      <c r="S44" s="11">
        <f t="shared" si="7"/>
        <v>95698.01999999999</v>
      </c>
      <c r="T44" s="12"/>
      <c r="U44" s="12"/>
    </row>
    <row r="45" spans="1:20" ht="12.75" customHeight="1">
      <c r="A45" s="10">
        <f t="shared" si="9"/>
        <v>15</v>
      </c>
      <c r="B45" s="26" t="s">
        <v>30</v>
      </c>
      <c r="C45" s="48">
        <v>31.25</v>
      </c>
      <c r="D45" s="10">
        <v>16</v>
      </c>
      <c r="E45" s="10">
        <v>2377</v>
      </c>
      <c r="F45" s="10">
        <f t="shared" si="8"/>
        <v>74281.25</v>
      </c>
      <c r="G45" s="10"/>
      <c r="H45" s="11"/>
      <c r="I45" s="11">
        <f>E45*C45*0.15-383.4</f>
        <v>10758.7875</v>
      </c>
      <c r="J45" s="11">
        <f>E45*1.25*0.15</f>
        <v>445.6875</v>
      </c>
      <c r="K45" s="11"/>
      <c r="L45" s="11"/>
      <c r="M45" s="11">
        <f>E45*0.3</f>
        <v>713.1</v>
      </c>
      <c r="N45" s="11"/>
      <c r="O45" s="11"/>
      <c r="P45" s="11">
        <f t="shared" si="5"/>
        <v>11917.575</v>
      </c>
      <c r="Q45" s="11">
        <f t="shared" si="6"/>
        <v>86198.82500000001</v>
      </c>
      <c r="R45" s="11"/>
      <c r="S45" s="11">
        <f t="shared" si="7"/>
        <v>1034385.9000000001</v>
      </c>
      <c r="T45" s="12"/>
    </row>
    <row r="46" spans="1:20" ht="12.75" customHeight="1">
      <c r="A46" s="10"/>
      <c r="B46" s="26" t="s">
        <v>31</v>
      </c>
      <c r="C46" s="22">
        <f>SUM(C26:C45)</f>
        <v>279.3</v>
      </c>
      <c r="D46" s="22"/>
      <c r="E46" s="11"/>
      <c r="F46" s="11">
        <f>SUM(F26:F45)</f>
        <v>784307.6</v>
      </c>
      <c r="G46" s="22"/>
      <c r="H46" s="11">
        <f aca="true" t="shared" si="10" ref="H46:M46">SUM(H26:H45)</f>
        <v>3150.425</v>
      </c>
      <c r="I46" s="11">
        <f t="shared" si="10"/>
        <v>171259.2225</v>
      </c>
      <c r="J46" s="11">
        <f t="shared" si="10"/>
        <v>93519.0625</v>
      </c>
      <c r="K46" s="11">
        <f t="shared" si="10"/>
        <v>133131.9325</v>
      </c>
      <c r="L46" s="11">
        <f t="shared" si="10"/>
        <v>2256</v>
      </c>
      <c r="M46" s="11">
        <f t="shared" si="10"/>
        <v>11787.7</v>
      </c>
      <c r="N46" s="11"/>
      <c r="O46" s="11"/>
      <c r="P46" s="11">
        <f>SUM(P26:P45)</f>
        <v>415104.3424999999</v>
      </c>
      <c r="Q46" s="11">
        <f>SUM(Q26:Q45)</f>
        <v>1199411.9425</v>
      </c>
      <c r="R46" s="11">
        <f>SUM(R26:R45)</f>
        <v>0</v>
      </c>
      <c r="S46" s="11">
        <f>SUM(S26:S45)</f>
        <v>14392943.31</v>
      </c>
      <c r="T46" s="107"/>
    </row>
    <row r="47" spans="1:20" ht="15" customHeight="1">
      <c r="A47" s="157" t="s">
        <v>33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  <c r="T47" s="112"/>
    </row>
    <row r="48" spans="1:19" ht="12.75" customHeight="1">
      <c r="A48" s="3"/>
      <c r="B48" s="2" t="s">
        <v>49</v>
      </c>
      <c r="C48" s="3">
        <v>1</v>
      </c>
      <c r="D48" s="3">
        <v>16</v>
      </c>
      <c r="E48" s="3">
        <v>2377</v>
      </c>
      <c r="F48" s="3">
        <f>E48*C48</f>
        <v>2377</v>
      </c>
      <c r="G48" s="3"/>
      <c r="H48" s="3"/>
      <c r="I48" s="4"/>
      <c r="J48" s="3"/>
      <c r="K48" s="3"/>
      <c r="L48" s="3"/>
      <c r="M48" s="3"/>
      <c r="N48" s="3"/>
      <c r="O48" s="3"/>
      <c r="P48" s="3"/>
      <c r="Q48" s="5">
        <f>E48*C48+SUM(G48:O48)</f>
        <v>2377</v>
      </c>
      <c r="R48" s="5"/>
      <c r="S48" s="5">
        <f>Q48*$R$17</f>
        <v>28524</v>
      </c>
    </row>
    <row r="49" spans="1:19" ht="12.75" customHeight="1">
      <c r="A49" s="8"/>
      <c r="B49" s="27" t="s">
        <v>501</v>
      </c>
      <c r="C49" s="8">
        <v>1</v>
      </c>
      <c r="D49" s="8">
        <v>11</v>
      </c>
      <c r="E49" s="8">
        <v>1678</v>
      </c>
      <c r="F49" s="8">
        <f>E49*C49</f>
        <v>1678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9">
        <f>E49*C49+SUM(G49:O49)</f>
        <v>1678</v>
      </c>
      <c r="R49" s="9"/>
      <c r="S49" s="9">
        <f>Q49*$R$17</f>
        <v>20136</v>
      </c>
    </row>
    <row r="50" spans="1:19" ht="12.75" customHeight="1">
      <c r="A50" s="170" t="s">
        <v>34</v>
      </c>
      <c r="B50" s="159"/>
      <c r="C50" s="10">
        <f>SUM(C48:C49)</f>
        <v>2</v>
      </c>
      <c r="D50" s="10"/>
      <c r="E50" s="10"/>
      <c r="F50" s="10">
        <f>SUM(F48:F49)</f>
        <v>4055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SUM(Q48:Q49)</f>
        <v>4055</v>
      </c>
      <c r="R50" s="10">
        <f>SUM(R48:R49)</f>
        <v>0</v>
      </c>
      <c r="S50" s="10">
        <f>SUM(S48:S49)</f>
        <v>48660</v>
      </c>
    </row>
    <row r="51" spans="1:19" ht="12.75" customHeight="1">
      <c r="A51" s="178" t="s">
        <v>35</v>
      </c>
      <c r="B51" s="159"/>
      <c r="C51" s="22">
        <f>C23+C46+C50</f>
        <v>291.3</v>
      </c>
      <c r="D51" s="22"/>
      <c r="E51" s="11"/>
      <c r="F51" s="11">
        <f>F23+F46+F50</f>
        <v>821789.6</v>
      </c>
      <c r="G51" s="11">
        <f>G23+G46+G50</f>
        <v>557.25</v>
      </c>
      <c r="H51" s="11">
        <f aca="true" t="shared" si="11" ref="H51:M51">H23+H46+H50</f>
        <v>4475.225</v>
      </c>
      <c r="I51" s="11">
        <f t="shared" si="11"/>
        <v>180612.1225</v>
      </c>
      <c r="J51" s="11">
        <f t="shared" si="11"/>
        <v>98879.6625</v>
      </c>
      <c r="K51" s="11">
        <f t="shared" si="11"/>
        <v>142009.7225</v>
      </c>
      <c r="L51" s="11">
        <f t="shared" si="11"/>
        <v>2256</v>
      </c>
      <c r="M51" s="11">
        <f t="shared" si="11"/>
        <v>11787.7</v>
      </c>
      <c r="N51" s="11"/>
      <c r="O51" s="11"/>
      <c r="P51" s="11">
        <f>P23+P46+P50</f>
        <v>440577.68249999994</v>
      </c>
      <c r="Q51" s="11">
        <f>Q23+Q46+Q50</f>
        <v>1262367.2825</v>
      </c>
      <c r="R51" s="11"/>
      <c r="S51" s="11">
        <f>S23+S46+S50</f>
        <v>15148407.39</v>
      </c>
    </row>
    <row r="52" spans="1:19" ht="15" customHeight="1">
      <c r="A52" s="157" t="s">
        <v>36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95"/>
      <c r="Q52" s="195"/>
      <c r="R52" s="158"/>
      <c r="S52" s="159"/>
    </row>
    <row r="53" spans="1:19" ht="24.75" customHeight="1">
      <c r="A53" s="162" t="s">
        <v>9</v>
      </c>
      <c r="B53" s="2" t="s">
        <v>234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9"/>
      <c r="O53" s="29"/>
      <c r="P53" s="29"/>
      <c r="Q53" s="3"/>
      <c r="R53" s="30"/>
      <c r="S53" s="3"/>
    </row>
    <row r="54" spans="1:19" ht="12" customHeight="1">
      <c r="A54" s="180"/>
      <c r="B54" s="31" t="s">
        <v>502</v>
      </c>
      <c r="C54" s="7">
        <v>2</v>
      </c>
      <c r="D54" s="7">
        <v>11</v>
      </c>
      <c r="E54" s="7">
        <v>1678</v>
      </c>
      <c r="F54" s="7">
        <f>E54*C54</f>
        <v>3356</v>
      </c>
      <c r="G54" s="7"/>
      <c r="H54" s="7"/>
      <c r="I54" s="4"/>
      <c r="J54" s="7"/>
      <c r="K54" s="7"/>
      <c r="L54" s="7"/>
      <c r="M54" s="7"/>
      <c r="N54" s="32"/>
      <c r="O54" s="32"/>
      <c r="P54" s="4"/>
      <c r="Q54" s="4">
        <f>E54*C54+SUM(G54:O54)</f>
        <v>3356</v>
      </c>
      <c r="R54" s="33"/>
      <c r="S54" s="4">
        <f>Q54*$R$17</f>
        <v>40272</v>
      </c>
    </row>
    <row r="55" spans="1:19" ht="12" customHeight="1">
      <c r="A55" s="163"/>
      <c r="B55" s="31" t="s">
        <v>192</v>
      </c>
      <c r="C55" s="7">
        <v>3</v>
      </c>
      <c r="D55" s="7">
        <v>6</v>
      </c>
      <c r="E55" s="7">
        <v>1263</v>
      </c>
      <c r="F55" s="7">
        <f>E55*C55</f>
        <v>3789</v>
      </c>
      <c r="G55" s="7"/>
      <c r="H55" s="7"/>
      <c r="I55" s="7"/>
      <c r="J55" s="7"/>
      <c r="K55" s="7"/>
      <c r="L55" s="7"/>
      <c r="M55" s="7"/>
      <c r="N55" s="32"/>
      <c r="O55" s="32"/>
      <c r="P55" s="32"/>
      <c r="Q55" s="4">
        <f>E55*C55+SUM(G55:O55)</f>
        <v>3789</v>
      </c>
      <c r="R55" s="33"/>
      <c r="S55" s="4">
        <f>Q55*$R$17</f>
        <v>45468</v>
      </c>
    </row>
    <row r="56" spans="1:19" ht="12" customHeight="1">
      <c r="A56" s="164"/>
      <c r="B56" s="27" t="s">
        <v>39</v>
      </c>
      <c r="C56" s="8">
        <v>1</v>
      </c>
      <c r="D56" s="8">
        <v>4</v>
      </c>
      <c r="E56" s="8">
        <v>1243</v>
      </c>
      <c r="F56" s="8">
        <f>E56*C56</f>
        <v>1243</v>
      </c>
      <c r="G56" s="8"/>
      <c r="H56" s="8"/>
      <c r="I56" s="8"/>
      <c r="J56" s="8"/>
      <c r="K56" s="8"/>
      <c r="L56" s="8"/>
      <c r="M56" s="8"/>
      <c r="N56" s="34"/>
      <c r="O56" s="34"/>
      <c r="P56" s="34"/>
      <c r="Q56" s="9">
        <f>E56*C56+SUM(G56:O56)</f>
        <v>1243</v>
      </c>
      <c r="R56" s="33"/>
      <c r="S56" s="9">
        <f>Q56*$R$17</f>
        <v>14916</v>
      </c>
    </row>
    <row r="57" spans="1:19" ht="12" customHeight="1">
      <c r="A57" s="10"/>
      <c r="B57" s="26" t="s">
        <v>40</v>
      </c>
      <c r="C57" s="10">
        <f>SUM(C54:C56)</f>
        <v>6</v>
      </c>
      <c r="D57" s="10"/>
      <c r="E57" s="10"/>
      <c r="F57" s="10">
        <f>SUM(F54:F56)</f>
        <v>8388</v>
      </c>
      <c r="G57" s="10"/>
      <c r="H57" s="10"/>
      <c r="I57" s="11"/>
      <c r="J57" s="10"/>
      <c r="K57" s="10"/>
      <c r="L57" s="10"/>
      <c r="M57" s="10"/>
      <c r="N57" s="35"/>
      <c r="O57" s="35"/>
      <c r="P57" s="34"/>
      <c r="Q57" s="9">
        <f>SUM(Q54:Q56)</f>
        <v>8388</v>
      </c>
      <c r="R57" s="36">
        <f>SUM(R54:R56)</f>
        <v>0</v>
      </c>
      <c r="S57" s="11">
        <f>SUM(S54:S56)</f>
        <v>100656</v>
      </c>
    </row>
    <row r="58" spans="1:19" ht="12" customHeight="1">
      <c r="A58" s="162" t="s">
        <v>11</v>
      </c>
      <c r="B58" s="2" t="s">
        <v>179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3"/>
      <c r="B59" s="31" t="s">
        <v>502</v>
      </c>
      <c r="C59" s="7">
        <v>1</v>
      </c>
      <c r="D59" s="7">
        <v>11</v>
      </c>
      <c r="E59" s="7">
        <v>1678</v>
      </c>
      <c r="F59" s="7">
        <f>E59*C59</f>
        <v>1678</v>
      </c>
      <c r="G59" s="7"/>
      <c r="H59" s="7"/>
      <c r="I59" s="4"/>
      <c r="J59" s="7"/>
      <c r="K59" s="7"/>
      <c r="L59" s="7"/>
      <c r="M59" s="7"/>
      <c r="N59" s="32"/>
      <c r="O59" s="32"/>
      <c r="P59" s="4"/>
      <c r="Q59" s="4">
        <f>E59*C59+SUM(G59:O59)</f>
        <v>1678</v>
      </c>
      <c r="R59" s="7"/>
      <c r="S59" s="4">
        <f>Q59*$R$17</f>
        <v>20136</v>
      </c>
    </row>
    <row r="60" spans="1:19" ht="12" customHeight="1">
      <c r="A60" s="164"/>
      <c r="B60" s="27" t="s">
        <v>80</v>
      </c>
      <c r="C60" s="8">
        <v>1</v>
      </c>
      <c r="D60" s="8">
        <v>4</v>
      </c>
      <c r="E60" s="8">
        <v>1243</v>
      </c>
      <c r="F60" s="7">
        <f>E60*C60</f>
        <v>1243</v>
      </c>
      <c r="G60" s="8"/>
      <c r="H60" s="8"/>
      <c r="I60" s="8"/>
      <c r="J60" s="8"/>
      <c r="K60" s="8"/>
      <c r="L60" s="8"/>
      <c r="M60" s="8"/>
      <c r="N60" s="8"/>
      <c r="O60" s="8"/>
      <c r="P60" s="7"/>
      <c r="Q60" s="4">
        <f>E60*C60+SUM(G60:O60)</f>
        <v>1243</v>
      </c>
      <c r="R60" s="7"/>
      <c r="S60" s="4">
        <f>Q60*$R$17</f>
        <v>14916</v>
      </c>
    </row>
    <row r="61" spans="1:19" ht="12" customHeight="1">
      <c r="A61" s="10"/>
      <c r="B61" s="26" t="s">
        <v>40</v>
      </c>
      <c r="C61" s="10">
        <f>SUM(C59:C60)</f>
        <v>2</v>
      </c>
      <c r="D61" s="10"/>
      <c r="E61" s="10"/>
      <c r="F61" s="10">
        <f>SUM(F59:F60)</f>
        <v>2921</v>
      </c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>
        <f>SUM(Q59:Q60)</f>
        <v>2921</v>
      </c>
      <c r="R61" s="11"/>
      <c r="S61" s="11">
        <f>SUM(S59:S60)</f>
        <v>35052</v>
      </c>
    </row>
    <row r="62" spans="1:19" ht="21.75" customHeight="1">
      <c r="A62" s="3" t="s">
        <v>10</v>
      </c>
      <c r="B62" s="37" t="s">
        <v>259</v>
      </c>
      <c r="C62" s="3"/>
      <c r="D62" s="3"/>
      <c r="E62" s="3"/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</row>
    <row r="63" spans="1:19" ht="12.75">
      <c r="A63" s="7"/>
      <c r="B63" s="31" t="s">
        <v>252</v>
      </c>
      <c r="C63" s="7">
        <v>1</v>
      </c>
      <c r="D63" s="7">
        <v>5</v>
      </c>
      <c r="E63" s="7">
        <v>1253</v>
      </c>
      <c r="F63" s="7">
        <f>E63*C63</f>
        <v>1253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4">
        <f>E63*C63+SUM(G63:O63)</f>
        <v>1253</v>
      </c>
      <c r="R63" s="7"/>
      <c r="S63" s="4">
        <f>Q63*$R$17</f>
        <v>15036</v>
      </c>
    </row>
    <row r="64" spans="1:19" ht="12.75">
      <c r="A64" s="8"/>
      <c r="B64" s="38" t="s">
        <v>80</v>
      </c>
      <c r="C64" s="7">
        <v>2.5</v>
      </c>
      <c r="D64" s="7">
        <v>4</v>
      </c>
      <c r="E64" s="7">
        <v>1243</v>
      </c>
      <c r="F64" s="7">
        <f>E64*C64</f>
        <v>3107.5</v>
      </c>
      <c r="G64" s="8"/>
      <c r="H64" s="8"/>
      <c r="I64" s="8"/>
      <c r="J64" s="8"/>
      <c r="K64" s="8"/>
      <c r="L64" s="8"/>
      <c r="M64" s="8"/>
      <c r="N64" s="8"/>
      <c r="O64" s="8"/>
      <c r="P64" s="7"/>
      <c r="Q64" s="4">
        <f>E64*C64+SUM(G64:O64)</f>
        <v>3107.5</v>
      </c>
      <c r="R64" s="8"/>
      <c r="S64" s="9">
        <f>Q64*$R$17</f>
        <v>37290</v>
      </c>
    </row>
    <row r="65" spans="1:19" ht="12.75">
      <c r="A65" s="10"/>
      <c r="B65" s="26" t="s">
        <v>40</v>
      </c>
      <c r="C65" s="10">
        <f>SUM(C63:C64)</f>
        <v>3.5</v>
      </c>
      <c r="D65" s="10"/>
      <c r="E65" s="10" t="s">
        <v>91</v>
      </c>
      <c r="F65" s="10">
        <f>SUM(F63:F64)</f>
        <v>4360.5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SUM(Q63:Q64)</f>
        <v>4360.5</v>
      </c>
      <c r="R65" s="10">
        <f>SUM(R63:R64)</f>
        <v>0</v>
      </c>
      <c r="S65" s="10">
        <f>SUM(S63:S64)</f>
        <v>52326</v>
      </c>
    </row>
    <row r="66" spans="1:19" ht="50.25" customHeight="1">
      <c r="A66" s="162" t="s">
        <v>13</v>
      </c>
      <c r="B66" s="2" t="s">
        <v>178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63"/>
      <c r="B67" s="31" t="s">
        <v>350</v>
      </c>
      <c r="C67" s="7">
        <v>1</v>
      </c>
      <c r="D67" s="7">
        <v>10</v>
      </c>
      <c r="E67" s="7">
        <v>1551</v>
      </c>
      <c r="F67" s="7">
        <f>E67*C67</f>
        <v>1551</v>
      </c>
      <c r="G67" s="7"/>
      <c r="H67" s="7"/>
      <c r="I67" s="7"/>
      <c r="J67" s="7"/>
      <c r="K67" s="7"/>
      <c r="L67" s="7"/>
      <c r="M67" s="7"/>
      <c r="N67" s="32"/>
      <c r="O67" s="32"/>
      <c r="P67" s="7"/>
      <c r="Q67" s="4">
        <f>E67*C67+SUM(G67:O67)</f>
        <v>1551</v>
      </c>
      <c r="R67" s="7"/>
      <c r="S67" s="4">
        <f>Q67*$R$17</f>
        <v>18612</v>
      </c>
    </row>
    <row r="68" spans="1:19" ht="12.75">
      <c r="A68" s="121"/>
      <c r="B68" s="31" t="s">
        <v>192</v>
      </c>
      <c r="C68" s="7">
        <v>1</v>
      </c>
      <c r="D68" s="7">
        <v>6</v>
      </c>
      <c r="E68" s="7">
        <v>1263</v>
      </c>
      <c r="F68" s="7">
        <f>E68*C68</f>
        <v>1263</v>
      </c>
      <c r="G68" s="7"/>
      <c r="H68" s="7"/>
      <c r="I68" s="7"/>
      <c r="J68" s="7"/>
      <c r="K68" s="7"/>
      <c r="L68" s="7"/>
      <c r="M68" s="7"/>
      <c r="N68" s="32"/>
      <c r="O68" s="32"/>
      <c r="P68" s="32"/>
      <c r="Q68" s="4">
        <f>E68*C68+SUM(G68:O68)</f>
        <v>1263</v>
      </c>
      <c r="R68" s="33"/>
      <c r="S68" s="4">
        <f>Q68*$R$17</f>
        <v>15156</v>
      </c>
    </row>
    <row r="69" spans="1:19" ht="12.75">
      <c r="A69" s="121"/>
      <c r="B69" s="31" t="s">
        <v>39</v>
      </c>
      <c r="C69" s="8">
        <v>1</v>
      </c>
      <c r="D69" s="8">
        <v>4</v>
      </c>
      <c r="E69" s="8">
        <v>1243</v>
      </c>
      <c r="F69" s="7">
        <f>E69*C69</f>
        <v>1243</v>
      </c>
      <c r="G69" s="8"/>
      <c r="H69" s="8"/>
      <c r="I69" s="8"/>
      <c r="J69" s="8"/>
      <c r="K69" s="8"/>
      <c r="L69" s="8"/>
      <c r="M69" s="8"/>
      <c r="N69" s="8"/>
      <c r="O69" s="8"/>
      <c r="P69" s="7"/>
      <c r="Q69" s="4">
        <f>E69*C69+SUM(G69:O69)</f>
        <v>1243</v>
      </c>
      <c r="R69" s="7"/>
      <c r="S69" s="4">
        <f>Q69*$R$17</f>
        <v>14916</v>
      </c>
    </row>
    <row r="70" spans="1:19" ht="12.75">
      <c r="A70" s="10"/>
      <c r="B70" s="26" t="s">
        <v>40</v>
      </c>
      <c r="C70" s="10">
        <f>SUM(C67:C69)</f>
        <v>3</v>
      </c>
      <c r="D70" s="10"/>
      <c r="E70" s="10"/>
      <c r="F70" s="10">
        <f>SUM(F67:F69)</f>
        <v>4057</v>
      </c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1">
        <f>SUM(Q67:Q69)</f>
        <v>4057</v>
      </c>
      <c r="R70" s="11">
        <f>SUM(R67:R69)</f>
        <v>0</v>
      </c>
      <c r="S70" s="11">
        <f>SUM(S67:S69)</f>
        <v>48684</v>
      </c>
    </row>
    <row r="71" spans="1:19" ht="25.5">
      <c r="A71" s="162" t="s">
        <v>19</v>
      </c>
      <c r="B71" s="2" t="s">
        <v>43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63"/>
      <c r="B72" s="31" t="s">
        <v>44</v>
      </c>
      <c r="C72" s="7">
        <v>1</v>
      </c>
      <c r="D72" s="7">
        <v>7</v>
      </c>
      <c r="E72" s="7">
        <v>1312</v>
      </c>
      <c r="F72" s="7">
        <f>E72*C72</f>
        <v>1312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4">
        <f>E72*C72+SUM(G72:O72)</f>
        <v>1312</v>
      </c>
      <c r="R72" s="7"/>
      <c r="S72" s="4">
        <f>Q72*$R$17</f>
        <v>15744</v>
      </c>
    </row>
    <row r="73" spans="1:19" ht="12.75">
      <c r="A73" s="163"/>
      <c r="B73" s="31" t="s">
        <v>192</v>
      </c>
      <c r="C73" s="7">
        <v>2</v>
      </c>
      <c r="D73" s="7">
        <v>6</v>
      </c>
      <c r="E73" s="7">
        <v>1263</v>
      </c>
      <c r="F73" s="7">
        <f>E73*C73</f>
        <v>2526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4">
        <f>E73*C73+SUM(G73:O73)</f>
        <v>2526</v>
      </c>
      <c r="R73" s="7"/>
      <c r="S73" s="4">
        <f>Q73*$R$17</f>
        <v>30312</v>
      </c>
    </row>
    <row r="74" spans="1:19" ht="12.75">
      <c r="A74" s="164"/>
      <c r="B74" s="27" t="s">
        <v>39</v>
      </c>
      <c r="C74" s="8">
        <v>2</v>
      </c>
      <c r="D74" s="8">
        <v>4</v>
      </c>
      <c r="E74" s="8">
        <v>1243</v>
      </c>
      <c r="F74" s="7">
        <f>E74*C74</f>
        <v>2486</v>
      </c>
      <c r="G74" s="8"/>
      <c r="H74" s="8"/>
      <c r="I74" s="8"/>
      <c r="J74" s="8"/>
      <c r="K74" s="8"/>
      <c r="L74" s="8"/>
      <c r="M74" s="8"/>
      <c r="N74" s="8"/>
      <c r="O74" s="8"/>
      <c r="P74" s="7"/>
      <c r="Q74" s="4">
        <f>E74*C74+SUM(G74:O74)</f>
        <v>2486</v>
      </c>
      <c r="R74" s="7"/>
      <c r="S74" s="4">
        <f>Q74*$R$17</f>
        <v>29832</v>
      </c>
    </row>
    <row r="75" spans="1:19" ht="12.75">
      <c r="A75" s="10"/>
      <c r="B75" s="26" t="s">
        <v>40</v>
      </c>
      <c r="C75" s="10">
        <f>SUM(C72:C74)</f>
        <v>5</v>
      </c>
      <c r="D75" s="10"/>
      <c r="E75" s="10"/>
      <c r="F75" s="10">
        <f>SUM(F72:F74)</f>
        <v>6324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>SUM(Q72:Q74)</f>
        <v>6324</v>
      </c>
      <c r="R75" s="10">
        <f>SUM(R72:R74)</f>
        <v>0</v>
      </c>
      <c r="S75" s="10">
        <f>SUM(S72:S74)</f>
        <v>75888</v>
      </c>
    </row>
    <row r="76" spans="1:19" ht="24" customHeight="1">
      <c r="A76" s="162" t="s">
        <v>20</v>
      </c>
      <c r="B76" s="2" t="s">
        <v>428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63"/>
      <c r="B77" s="31" t="s">
        <v>162</v>
      </c>
      <c r="C77" s="7">
        <v>1</v>
      </c>
      <c r="D77" s="7">
        <v>6</v>
      </c>
      <c r="E77" s="7">
        <v>1263</v>
      </c>
      <c r="F77" s="7">
        <f>E77*C77</f>
        <v>1263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4">
        <f>E77*C77+SUM(G77:O77)</f>
        <v>1263</v>
      </c>
      <c r="R77" s="7"/>
      <c r="S77" s="4">
        <f>Q77*$R$17</f>
        <v>15156</v>
      </c>
    </row>
    <row r="78" spans="1:19" ht="12.75">
      <c r="A78" s="163"/>
      <c r="B78" s="31" t="s">
        <v>38</v>
      </c>
      <c r="C78" s="7">
        <v>1</v>
      </c>
      <c r="D78" s="7">
        <v>5</v>
      </c>
      <c r="E78" s="7">
        <v>1253</v>
      </c>
      <c r="F78" s="7">
        <f>E78*C78</f>
        <v>1253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4">
        <f>E78*C78+SUM(G78:O78)</f>
        <v>1253</v>
      </c>
      <c r="R78" s="7"/>
      <c r="S78" s="4">
        <f>Q78*$R$17</f>
        <v>15036</v>
      </c>
    </row>
    <row r="79" spans="1:19" ht="12.75">
      <c r="A79" s="121"/>
      <c r="B79" s="31" t="s">
        <v>39</v>
      </c>
      <c r="C79" s="7">
        <v>1</v>
      </c>
      <c r="D79" s="7">
        <v>4</v>
      </c>
      <c r="E79" s="7">
        <v>1243</v>
      </c>
      <c r="F79" s="7">
        <f>E79*C79</f>
        <v>1243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4">
        <f>E79*C79+SUM(G79:O79)</f>
        <v>1243</v>
      </c>
      <c r="R79" s="7"/>
      <c r="S79" s="4">
        <f>Q79*$R$17</f>
        <v>14916</v>
      </c>
    </row>
    <row r="80" spans="1:19" ht="12.75">
      <c r="A80" s="10"/>
      <c r="B80" s="26" t="s">
        <v>40</v>
      </c>
      <c r="C80" s="10">
        <f>SUM(C77:C79)</f>
        <v>3</v>
      </c>
      <c r="D80" s="10"/>
      <c r="E80" s="10"/>
      <c r="F80" s="10">
        <f>SUM(F77:F79)</f>
        <v>3759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>
        <f>SUM(Q77:Q79)</f>
        <v>3759</v>
      </c>
      <c r="R80" s="10"/>
      <c r="S80" s="11">
        <f>SUM(S77:S79)</f>
        <v>45108</v>
      </c>
    </row>
    <row r="81" spans="1:19" ht="24" customHeight="1">
      <c r="A81" s="162" t="s">
        <v>21</v>
      </c>
      <c r="B81" s="2" t="s">
        <v>45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9"/>
      <c r="O81" s="29"/>
      <c r="P81" s="3"/>
      <c r="Q81" s="3"/>
      <c r="R81" s="3"/>
      <c r="S81" s="3"/>
    </row>
    <row r="82" spans="1:19" ht="11.25" customHeight="1">
      <c r="A82" s="163"/>
      <c r="B82" s="31" t="s">
        <v>502</v>
      </c>
      <c r="C82" s="7">
        <v>2</v>
      </c>
      <c r="D82" s="7">
        <v>11</v>
      </c>
      <c r="E82" s="7">
        <v>1678</v>
      </c>
      <c r="F82" s="7">
        <f>E82*C82</f>
        <v>3356</v>
      </c>
      <c r="G82" s="7"/>
      <c r="H82" s="7"/>
      <c r="I82" s="4"/>
      <c r="J82" s="4"/>
      <c r="K82" s="7"/>
      <c r="L82" s="7"/>
      <c r="M82" s="7"/>
      <c r="N82" s="32"/>
      <c r="O82" s="32"/>
      <c r="P82" s="4"/>
      <c r="Q82" s="4">
        <f>E82*C82+SUM(G82:O82)</f>
        <v>3356</v>
      </c>
      <c r="R82" s="7"/>
      <c r="S82" s="4">
        <f>Q82*$R$17</f>
        <v>40272</v>
      </c>
    </row>
    <row r="83" spans="1:19" ht="11.25" customHeight="1">
      <c r="A83" s="163"/>
      <c r="B83" s="31" t="s">
        <v>58</v>
      </c>
      <c r="C83" s="7">
        <v>1</v>
      </c>
      <c r="D83" s="7">
        <v>10</v>
      </c>
      <c r="E83" s="7">
        <v>1551</v>
      </c>
      <c r="F83" s="7">
        <f>E83*C83</f>
        <v>1551</v>
      </c>
      <c r="G83" s="7"/>
      <c r="H83" s="7"/>
      <c r="I83" s="7"/>
      <c r="J83" s="7"/>
      <c r="K83" s="7"/>
      <c r="L83" s="7"/>
      <c r="M83" s="7"/>
      <c r="N83" s="32"/>
      <c r="O83" s="32"/>
      <c r="P83" s="7"/>
      <c r="Q83" s="4">
        <f>E83*C83+SUM(G83:O83)</f>
        <v>1551</v>
      </c>
      <c r="R83" s="7"/>
      <c r="S83" s="4">
        <f>Q83*$R$17</f>
        <v>18612</v>
      </c>
    </row>
    <row r="84" spans="1:19" ht="11.25" customHeight="1">
      <c r="A84" s="163"/>
      <c r="B84" s="31" t="s">
        <v>112</v>
      </c>
      <c r="C84" s="7">
        <v>1</v>
      </c>
      <c r="D84" s="7">
        <v>9</v>
      </c>
      <c r="E84" s="7">
        <v>1474</v>
      </c>
      <c r="F84" s="7">
        <f>E84*C84</f>
        <v>1474</v>
      </c>
      <c r="G84" s="7"/>
      <c r="H84" s="7"/>
      <c r="I84" s="7"/>
      <c r="J84" s="7"/>
      <c r="K84" s="7"/>
      <c r="L84" s="7"/>
      <c r="M84" s="7"/>
      <c r="N84" s="32"/>
      <c r="O84" s="32"/>
      <c r="P84" s="32"/>
      <c r="Q84" s="4">
        <f>E84*C84+SUM(G84:O84)</f>
        <v>1474</v>
      </c>
      <c r="R84" s="7"/>
      <c r="S84" s="4">
        <f>Q84*$R$17</f>
        <v>17688</v>
      </c>
    </row>
    <row r="85" spans="1:19" ht="11.25" customHeight="1">
      <c r="A85" s="163"/>
      <c r="B85" s="31" t="s">
        <v>48</v>
      </c>
      <c r="C85" s="7">
        <v>0.5</v>
      </c>
      <c r="D85" s="7">
        <v>5</v>
      </c>
      <c r="E85" s="7">
        <v>1253</v>
      </c>
      <c r="F85" s="7">
        <f>E85*C85</f>
        <v>626.5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4">
        <f>E85*C85+SUM(G85:O85)</f>
        <v>626.5</v>
      </c>
      <c r="R85" s="7"/>
      <c r="S85" s="4">
        <f>Q85*$R$17</f>
        <v>7518</v>
      </c>
    </row>
    <row r="86" spans="1:19" ht="11.25" customHeight="1">
      <c r="A86" s="120"/>
      <c r="B86" s="27" t="s">
        <v>50</v>
      </c>
      <c r="C86" s="8">
        <v>1.5</v>
      </c>
      <c r="D86" s="8">
        <v>4</v>
      </c>
      <c r="E86" s="8">
        <v>1243</v>
      </c>
      <c r="F86" s="8">
        <f>E86*C86</f>
        <v>1864.5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9">
        <f>E86*C86+SUM(G86:O86)</f>
        <v>1864.5</v>
      </c>
      <c r="R86" s="8"/>
      <c r="S86" s="9">
        <f>Q86*$R$17</f>
        <v>22374</v>
      </c>
    </row>
    <row r="87" spans="1:19" ht="11.25" customHeight="1">
      <c r="A87" s="10"/>
      <c r="B87" s="26" t="s">
        <v>40</v>
      </c>
      <c r="C87" s="10">
        <f>SUM(C82:C86)</f>
        <v>6</v>
      </c>
      <c r="D87" s="10"/>
      <c r="E87" s="10"/>
      <c r="F87" s="10">
        <f>SUM(F82:F86)</f>
        <v>8872</v>
      </c>
      <c r="G87" s="10"/>
      <c r="H87" s="10"/>
      <c r="I87" s="11"/>
      <c r="J87" s="11"/>
      <c r="K87" s="11"/>
      <c r="L87" s="11"/>
      <c r="M87" s="11"/>
      <c r="N87" s="11"/>
      <c r="O87" s="11"/>
      <c r="P87" s="11"/>
      <c r="Q87" s="11">
        <f>SUM(Q82:Q86)</f>
        <v>8872</v>
      </c>
      <c r="R87" s="11">
        <f>SUM(R82:R85)</f>
        <v>0</v>
      </c>
      <c r="S87" s="11">
        <f>SUM(S82:S86)</f>
        <v>106464</v>
      </c>
    </row>
    <row r="88" spans="1:19" ht="24" customHeight="1">
      <c r="A88" s="162" t="s">
        <v>22</v>
      </c>
      <c r="B88" s="2" t="s">
        <v>172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63"/>
      <c r="B89" s="31" t="s">
        <v>502</v>
      </c>
      <c r="C89" s="7">
        <v>1</v>
      </c>
      <c r="D89" s="7">
        <v>11</v>
      </c>
      <c r="E89" s="7">
        <v>1678</v>
      </c>
      <c r="F89" s="7">
        <f>E89*C89</f>
        <v>1678</v>
      </c>
      <c r="G89" s="7"/>
      <c r="H89" s="7"/>
      <c r="I89" s="4"/>
      <c r="J89" s="7"/>
      <c r="K89" s="7"/>
      <c r="L89" s="7"/>
      <c r="M89" s="7"/>
      <c r="N89" s="7"/>
      <c r="O89" s="7"/>
      <c r="P89" s="4"/>
      <c r="Q89" s="4">
        <f>E89*C89+SUM(G89:O89)</f>
        <v>1678</v>
      </c>
      <c r="R89" s="7"/>
      <c r="S89" s="4">
        <f>Q89*$R$17</f>
        <v>20136</v>
      </c>
    </row>
    <row r="90" spans="1:19" ht="12.75">
      <c r="A90" s="163"/>
      <c r="B90" s="31" t="s">
        <v>192</v>
      </c>
      <c r="C90" s="7">
        <v>2</v>
      </c>
      <c r="D90" s="7">
        <v>6</v>
      </c>
      <c r="E90" s="7">
        <v>1263</v>
      </c>
      <c r="F90" s="7">
        <f>E90*C90</f>
        <v>2526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4">
        <f>E90*C90+SUM(G90:O90)</f>
        <v>2526</v>
      </c>
      <c r="R90" s="7"/>
      <c r="S90" s="4">
        <f>Q90*$R$17</f>
        <v>30312</v>
      </c>
    </row>
    <row r="91" spans="1:19" ht="12.75">
      <c r="A91" s="164"/>
      <c r="B91" s="27" t="s">
        <v>52</v>
      </c>
      <c r="C91" s="8">
        <v>1.5</v>
      </c>
      <c r="D91" s="7">
        <v>4</v>
      </c>
      <c r="E91" s="7">
        <v>1243</v>
      </c>
      <c r="F91" s="7">
        <f>E91*C91</f>
        <v>1864.5</v>
      </c>
      <c r="G91" s="8"/>
      <c r="H91" s="8"/>
      <c r="I91" s="8"/>
      <c r="J91" s="8"/>
      <c r="K91" s="8"/>
      <c r="L91" s="8"/>
      <c r="M91" s="8"/>
      <c r="N91" s="8"/>
      <c r="O91" s="8"/>
      <c r="P91" s="7"/>
      <c r="Q91" s="4">
        <f>E91*C91+SUM(G91:O91)</f>
        <v>1864.5</v>
      </c>
      <c r="R91" s="7"/>
      <c r="S91" s="4">
        <f>Q91*$R$17</f>
        <v>22374</v>
      </c>
    </row>
    <row r="92" spans="1:19" ht="12.75">
      <c r="A92" s="10"/>
      <c r="B92" s="26" t="s">
        <v>40</v>
      </c>
      <c r="C92" s="10">
        <f>SUM(C89:C91)</f>
        <v>4.5</v>
      </c>
      <c r="D92" s="10"/>
      <c r="E92" s="10"/>
      <c r="F92" s="10">
        <f>SUM(F89:F91)</f>
        <v>6068.5</v>
      </c>
      <c r="G92" s="10"/>
      <c r="H92" s="10"/>
      <c r="I92" s="11"/>
      <c r="J92" s="11"/>
      <c r="K92" s="11"/>
      <c r="L92" s="11"/>
      <c r="M92" s="11"/>
      <c r="N92" s="11"/>
      <c r="O92" s="11"/>
      <c r="P92" s="11"/>
      <c r="Q92" s="11">
        <f>SUM(Q89:Q91)</f>
        <v>6068.5</v>
      </c>
      <c r="R92" s="11">
        <f>SUM(R89:R91)</f>
        <v>0</v>
      </c>
      <c r="S92" s="11">
        <f>SUM(S89:S91)</f>
        <v>72822</v>
      </c>
    </row>
    <row r="93" spans="1:19" ht="12.75" customHeight="1">
      <c r="A93" s="3" t="s">
        <v>23</v>
      </c>
      <c r="B93" s="2" t="s">
        <v>344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 customHeight="1">
      <c r="A94" s="7"/>
      <c r="B94" s="31" t="s">
        <v>162</v>
      </c>
      <c r="C94" s="7">
        <v>1</v>
      </c>
      <c r="D94" s="7">
        <v>6</v>
      </c>
      <c r="E94" s="7">
        <v>1263</v>
      </c>
      <c r="F94" s="7">
        <f>E94*C94</f>
        <v>1263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4">
        <f>E94*C94+SUM(G94:O94)</f>
        <v>1263</v>
      </c>
      <c r="R94" s="7"/>
      <c r="S94" s="4">
        <f>Q94*$R$17</f>
        <v>15156</v>
      </c>
    </row>
    <row r="95" spans="1:19" ht="12.75" customHeight="1">
      <c r="A95" s="8"/>
      <c r="B95" s="27" t="s">
        <v>61</v>
      </c>
      <c r="C95" s="8">
        <v>1</v>
      </c>
      <c r="D95" s="8">
        <v>7</v>
      </c>
      <c r="E95" s="8">
        <v>1312</v>
      </c>
      <c r="F95" s="8">
        <f>E95*C95</f>
        <v>1312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9">
        <f>E95*C95+SUM(G95:O95)</f>
        <v>1312</v>
      </c>
      <c r="R95" s="8"/>
      <c r="S95" s="9">
        <f>Q95*$R$17</f>
        <v>15744</v>
      </c>
    </row>
    <row r="96" spans="1:19" ht="12.75" customHeight="1">
      <c r="A96" s="10"/>
      <c r="B96" s="26" t="s">
        <v>40</v>
      </c>
      <c r="C96" s="10">
        <f>SUM(C94:C95)</f>
        <v>2</v>
      </c>
      <c r="D96" s="10"/>
      <c r="E96" s="10"/>
      <c r="F96" s="10">
        <f>SUM(F94:F95)</f>
        <v>2575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>
        <f>SUM(Q94:Q95)</f>
        <v>2575</v>
      </c>
      <c r="R96" s="10">
        <f>SUM(R94:R94)</f>
        <v>0</v>
      </c>
      <c r="S96" s="11">
        <f>SUM(S94:S95)</f>
        <v>30900</v>
      </c>
    </row>
    <row r="97" spans="1:19" ht="12.75" customHeight="1">
      <c r="A97" s="162" t="s">
        <v>25</v>
      </c>
      <c r="B97" s="2" t="s">
        <v>493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" customHeight="1">
      <c r="A98" s="163"/>
      <c r="B98" s="31" t="s">
        <v>502</v>
      </c>
      <c r="C98" s="7">
        <v>1</v>
      </c>
      <c r="D98" s="7">
        <v>11</v>
      </c>
      <c r="E98" s="7">
        <v>1678</v>
      </c>
      <c r="F98" s="7">
        <f>E98*C98</f>
        <v>1678</v>
      </c>
      <c r="G98" s="7"/>
      <c r="H98" s="7"/>
      <c r="I98" s="4"/>
      <c r="J98" s="4"/>
      <c r="K98" s="4"/>
      <c r="L98" s="4"/>
      <c r="M98" s="4"/>
      <c r="N98" s="4"/>
      <c r="O98" s="4"/>
      <c r="P98" s="4"/>
      <c r="Q98" s="4">
        <f>E98*C98+SUM(G98:O98)</f>
        <v>1678</v>
      </c>
      <c r="R98" s="7"/>
      <c r="S98" s="4">
        <f>Q98*$R$17</f>
        <v>20136</v>
      </c>
    </row>
    <row r="99" spans="1:19" ht="12" customHeight="1">
      <c r="A99" s="163"/>
      <c r="B99" s="31" t="s">
        <v>51</v>
      </c>
      <c r="C99" s="7">
        <v>1</v>
      </c>
      <c r="D99" s="7">
        <v>7</v>
      </c>
      <c r="E99" s="7">
        <v>1312</v>
      </c>
      <c r="F99" s="7">
        <f>E99*C99</f>
        <v>1312</v>
      </c>
      <c r="G99" s="7"/>
      <c r="H99" s="7"/>
      <c r="I99" s="4"/>
      <c r="J99" s="4"/>
      <c r="K99" s="4"/>
      <c r="L99" s="4"/>
      <c r="M99" s="4"/>
      <c r="N99" s="4"/>
      <c r="O99" s="4"/>
      <c r="P99" s="4"/>
      <c r="Q99" s="4">
        <f>E99*C99+SUM(G99:O99)</f>
        <v>1312</v>
      </c>
      <c r="R99" s="7"/>
      <c r="S99" s="4">
        <f>Q99*$R$17</f>
        <v>15744</v>
      </c>
    </row>
    <row r="100" spans="1:19" ht="12" customHeight="1">
      <c r="A100" s="163"/>
      <c r="B100" s="31" t="s">
        <v>481</v>
      </c>
      <c r="C100" s="7">
        <v>1</v>
      </c>
      <c r="D100" s="7">
        <v>6</v>
      </c>
      <c r="E100" s="7">
        <v>1263</v>
      </c>
      <c r="F100" s="7">
        <f>E100*C100</f>
        <v>1263</v>
      </c>
      <c r="G100" s="7"/>
      <c r="H100" s="7"/>
      <c r="I100" s="4"/>
      <c r="J100" s="4"/>
      <c r="K100" s="4"/>
      <c r="L100" s="4"/>
      <c r="M100" s="4"/>
      <c r="N100" s="4"/>
      <c r="O100" s="4"/>
      <c r="P100" s="4"/>
      <c r="Q100" s="4">
        <f>E100*C100+SUM(G100:O100)</f>
        <v>1263</v>
      </c>
      <c r="R100" s="7"/>
      <c r="S100" s="4">
        <f>Q100*$R$17</f>
        <v>15156</v>
      </c>
    </row>
    <row r="101" spans="1:19" ht="12" customHeight="1">
      <c r="A101" s="164"/>
      <c r="B101" s="27" t="s">
        <v>52</v>
      </c>
      <c r="C101" s="8">
        <v>1</v>
      </c>
      <c r="D101" s="8">
        <v>4</v>
      </c>
      <c r="E101" s="8">
        <v>1243</v>
      </c>
      <c r="F101" s="7">
        <f>E101*C101</f>
        <v>1243</v>
      </c>
      <c r="G101" s="8"/>
      <c r="H101" s="8"/>
      <c r="I101" s="9"/>
      <c r="J101" s="9"/>
      <c r="K101" s="9"/>
      <c r="L101" s="9"/>
      <c r="M101" s="9"/>
      <c r="N101" s="9"/>
      <c r="O101" s="9"/>
      <c r="P101" s="4"/>
      <c r="Q101" s="4">
        <f>E101*C101+SUM(G101:O101)</f>
        <v>1243</v>
      </c>
      <c r="R101" s="7"/>
      <c r="S101" s="4">
        <f>Q101*$R$17</f>
        <v>14916</v>
      </c>
    </row>
    <row r="102" spans="1:19" ht="12" customHeight="1">
      <c r="A102" s="10"/>
      <c r="B102" s="26" t="s">
        <v>40</v>
      </c>
      <c r="C102" s="10">
        <f>SUM(C98:C101)</f>
        <v>4</v>
      </c>
      <c r="D102" s="10"/>
      <c r="E102" s="10"/>
      <c r="F102" s="10">
        <f>SUM(F98:F101)</f>
        <v>5496</v>
      </c>
      <c r="G102" s="10"/>
      <c r="H102" s="10"/>
      <c r="I102" s="11"/>
      <c r="J102" s="11"/>
      <c r="K102" s="11"/>
      <c r="L102" s="11"/>
      <c r="M102" s="11"/>
      <c r="N102" s="11"/>
      <c r="O102" s="11"/>
      <c r="P102" s="11"/>
      <c r="Q102" s="10">
        <f>SUM(Q98:Q101)</f>
        <v>5496</v>
      </c>
      <c r="R102" s="10">
        <f>SUM(R98:R101)</f>
        <v>0</v>
      </c>
      <c r="S102" s="10">
        <f>SUM(S98:S101)</f>
        <v>65952</v>
      </c>
    </row>
    <row r="103" spans="1:19" ht="25.5" customHeight="1">
      <c r="A103" s="3" t="s">
        <v>26</v>
      </c>
      <c r="B103" s="2" t="s">
        <v>494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" customHeight="1">
      <c r="A104" s="7"/>
      <c r="B104" s="31" t="s">
        <v>502</v>
      </c>
      <c r="C104" s="7">
        <v>1</v>
      </c>
      <c r="D104" s="7">
        <v>11</v>
      </c>
      <c r="E104" s="7">
        <v>1678</v>
      </c>
      <c r="F104" s="7">
        <f>E104*C104</f>
        <v>1678</v>
      </c>
      <c r="G104" s="7"/>
      <c r="H104" s="7"/>
      <c r="I104" s="4"/>
      <c r="J104" s="7"/>
      <c r="K104" s="7"/>
      <c r="L104" s="7"/>
      <c r="M104" s="7"/>
      <c r="N104" s="7"/>
      <c r="O104" s="7"/>
      <c r="P104" s="4"/>
      <c r="Q104" s="4">
        <f>E104*C104+SUM(G104:O104)</f>
        <v>1678</v>
      </c>
      <c r="R104" s="7"/>
      <c r="S104" s="4">
        <f>Q104*$R$17</f>
        <v>20136</v>
      </c>
    </row>
    <row r="105" spans="1:19" ht="12" customHeight="1">
      <c r="A105" s="7"/>
      <c r="B105" s="31" t="s">
        <v>58</v>
      </c>
      <c r="C105" s="7">
        <v>1</v>
      </c>
      <c r="D105" s="7">
        <v>10</v>
      </c>
      <c r="E105" s="7">
        <v>1551</v>
      </c>
      <c r="F105" s="7">
        <f>E105*C105</f>
        <v>1551</v>
      </c>
      <c r="G105" s="7"/>
      <c r="H105" s="7"/>
      <c r="I105" s="7"/>
      <c r="J105" s="7"/>
      <c r="K105" s="7"/>
      <c r="L105" s="7"/>
      <c r="M105" s="7"/>
      <c r="N105" s="32"/>
      <c r="O105" s="32"/>
      <c r="P105" s="7"/>
      <c r="Q105" s="4">
        <f>E105*C105+SUM(G105:O105)</f>
        <v>1551</v>
      </c>
      <c r="R105" s="7"/>
      <c r="S105" s="4">
        <f>Q105*$R$17</f>
        <v>18612</v>
      </c>
    </row>
    <row r="106" spans="1:19" ht="12" customHeight="1">
      <c r="A106" s="7"/>
      <c r="B106" s="31" t="s">
        <v>55</v>
      </c>
      <c r="C106" s="7">
        <v>2</v>
      </c>
      <c r="D106" s="7">
        <v>7</v>
      </c>
      <c r="E106" s="7">
        <v>1312</v>
      </c>
      <c r="F106" s="7">
        <f>E106*C106</f>
        <v>2624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4">
        <f>E106*C106+SUM(G106:O106)</f>
        <v>2624</v>
      </c>
      <c r="R106" s="7"/>
      <c r="S106" s="4">
        <f>Q106*$R$17</f>
        <v>31488</v>
      </c>
    </row>
    <row r="107" spans="1:19" ht="12" customHeight="1">
      <c r="A107" s="8"/>
      <c r="B107" s="27" t="s">
        <v>48</v>
      </c>
      <c r="C107" s="8">
        <v>0.5</v>
      </c>
      <c r="D107" s="8">
        <v>5</v>
      </c>
      <c r="E107" s="8">
        <v>1253</v>
      </c>
      <c r="F107" s="7">
        <f>E107*C107</f>
        <v>626.5</v>
      </c>
      <c r="G107" s="8"/>
      <c r="H107" s="8"/>
      <c r="I107" s="8"/>
      <c r="J107" s="8"/>
      <c r="K107" s="8"/>
      <c r="L107" s="8"/>
      <c r="M107" s="8"/>
      <c r="N107" s="8"/>
      <c r="O107" s="8"/>
      <c r="P107" s="7"/>
      <c r="Q107" s="4">
        <f>E107*C107+SUM(G107:O107)</f>
        <v>626.5</v>
      </c>
      <c r="R107" s="7"/>
      <c r="S107" s="4">
        <f>Q107*$R$17</f>
        <v>7518</v>
      </c>
    </row>
    <row r="108" spans="1:19" ht="12.75">
      <c r="A108" s="10"/>
      <c r="B108" s="26" t="s">
        <v>40</v>
      </c>
      <c r="C108" s="10">
        <f>SUM(C103:C107)</f>
        <v>4.5</v>
      </c>
      <c r="D108" s="10"/>
      <c r="E108" s="10"/>
      <c r="F108" s="10">
        <f>SUM(F104:F107)</f>
        <v>6479.5</v>
      </c>
      <c r="G108" s="10"/>
      <c r="H108" s="10"/>
      <c r="I108" s="11"/>
      <c r="J108" s="10"/>
      <c r="K108" s="10"/>
      <c r="L108" s="10"/>
      <c r="M108" s="10"/>
      <c r="N108" s="10"/>
      <c r="O108" s="10"/>
      <c r="P108" s="11"/>
      <c r="Q108" s="11">
        <f>SUM(Q103:Q107)</f>
        <v>6479.5</v>
      </c>
      <c r="R108" s="11">
        <f>SUM(R103:R107)</f>
        <v>0</v>
      </c>
      <c r="S108" s="11">
        <f>SUM(S103:S107)</f>
        <v>77754</v>
      </c>
    </row>
    <row r="109" spans="1:19" ht="12.75">
      <c r="A109" s="162" t="s">
        <v>28</v>
      </c>
      <c r="B109" s="2" t="s">
        <v>54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63"/>
      <c r="B110" s="31" t="s">
        <v>502</v>
      </c>
      <c r="C110" s="7">
        <v>1</v>
      </c>
      <c r="D110" s="7">
        <v>11</v>
      </c>
      <c r="E110" s="7">
        <v>1678</v>
      </c>
      <c r="F110" s="7">
        <f aca="true" t="shared" si="12" ref="F110:F115">E110*C110</f>
        <v>1678</v>
      </c>
      <c r="G110" s="7"/>
      <c r="H110" s="7"/>
      <c r="I110" s="4"/>
      <c r="J110" s="4"/>
      <c r="K110" s="4"/>
      <c r="L110" s="4"/>
      <c r="M110" s="4"/>
      <c r="N110" s="4"/>
      <c r="O110" s="4"/>
      <c r="P110" s="4"/>
      <c r="Q110" s="4">
        <f aca="true" t="shared" si="13" ref="Q110:Q115">E110*C110+SUM(G110:O110)</f>
        <v>1678</v>
      </c>
      <c r="R110" s="7"/>
      <c r="S110" s="4">
        <f aca="true" t="shared" si="14" ref="S110:S115">Q110*$R$17</f>
        <v>20136</v>
      </c>
    </row>
    <row r="111" spans="1:19" ht="12.75">
      <c r="A111" s="163"/>
      <c r="B111" s="31" t="s">
        <v>46</v>
      </c>
      <c r="C111" s="7">
        <v>1</v>
      </c>
      <c r="D111" s="7">
        <v>9</v>
      </c>
      <c r="E111" s="7">
        <v>1474</v>
      </c>
      <c r="F111" s="7">
        <f t="shared" si="12"/>
        <v>1474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4">
        <f t="shared" si="13"/>
        <v>1474</v>
      </c>
      <c r="R111" s="7"/>
      <c r="S111" s="4">
        <f t="shared" si="14"/>
        <v>17688</v>
      </c>
    </row>
    <row r="112" spans="1:19" ht="12.75">
      <c r="A112" s="163"/>
      <c r="B112" s="31" t="s">
        <v>47</v>
      </c>
      <c r="C112" s="7">
        <v>1</v>
      </c>
      <c r="D112" s="7">
        <v>8</v>
      </c>
      <c r="E112" s="7">
        <v>1397</v>
      </c>
      <c r="F112" s="7">
        <f t="shared" si="12"/>
        <v>1397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4">
        <f t="shared" si="13"/>
        <v>1397</v>
      </c>
      <c r="R112" s="7"/>
      <c r="S112" s="4">
        <f t="shared" si="14"/>
        <v>16764</v>
      </c>
    </row>
    <row r="113" spans="1:19" ht="12.75">
      <c r="A113" s="163"/>
      <c r="B113" s="31" t="s">
        <v>229</v>
      </c>
      <c r="C113" s="7">
        <v>2</v>
      </c>
      <c r="D113" s="7">
        <v>7</v>
      </c>
      <c r="E113" s="7">
        <v>1312</v>
      </c>
      <c r="F113" s="7">
        <f t="shared" si="12"/>
        <v>2624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4">
        <f t="shared" si="13"/>
        <v>2624</v>
      </c>
      <c r="R113" s="7"/>
      <c r="S113" s="4">
        <f t="shared" si="14"/>
        <v>31488</v>
      </c>
    </row>
    <row r="114" spans="1:19" ht="12.75">
      <c r="A114" s="163"/>
      <c r="B114" s="31" t="s">
        <v>482</v>
      </c>
      <c r="C114" s="7">
        <v>1</v>
      </c>
      <c r="D114" s="7">
        <v>5</v>
      </c>
      <c r="E114" s="7">
        <v>1253</v>
      </c>
      <c r="F114" s="7">
        <f t="shared" si="12"/>
        <v>1253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4">
        <f t="shared" si="13"/>
        <v>1253</v>
      </c>
      <c r="R114" s="7"/>
      <c r="S114" s="4">
        <f t="shared" si="14"/>
        <v>15036</v>
      </c>
    </row>
    <row r="115" spans="1:19" ht="12.75">
      <c r="A115" s="164"/>
      <c r="B115" s="27" t="s">
        <v>57</v>
      </c>
      <c r="C115" s="8">
        <v>1</v>
      </c>
      <c r="D115" s="8">
        <v>4</v>
      </c>
      <c r="E115" s="8">
        <v>1243</v>
      </c>
      <c r="F115" s="7">
        <f t="shared" si="12"/>
        <v>1243</v>
      </c>
      <c r="G115" s="8"/>
      <c r="H115" s="8"/>
      <c r="I115" s="8"/>
      <c r="J115" s="8"/>
      <c r="K115" s="8"/>
      <c r="L115" s="8"/>
      <c r="M115" s="8"/>
      <c r="N115" s="8"/>
      <c r="O115" s="8"/>
      <c r="P115" s="7"/>
      <c r="Q115" s="4">
        <f t="shared" si="13"/>
        <v>1243</v>
      </c>
      <c r="R115" s="7"/>
      <c r="S115" s="4">
        <f t="shared" si="14"/>
        <v>14916</v>
      </c>
    </row>
    <row r="116" spans="1:19" ht="12.75">
      <c r="A116" s="10"/>
      <c r="B116" s="26" t="s">
        <v>40</v>
      </c>
      <c r="C116" s="10">
        <f>SUM(C110:C115)</f>
        <v>7</v>
      </c>
      <c r="D116" s="10"/>
      <c r="E116" s="10"/>
      <c r="F116" s="10">
        <f>SUM(F110:F115)</f>
        <v>9669</v>
      </c>
      <c r="G116" s="10"/>
      <c r="H116" s="10"/>
      <c r="I116" s="11"/>
      <c r="J116" s="11"/>
      <c r="K116" s="11"/>
      <c r="L116" s="11"/>
      <c r="M116" s="11"/>
      <c r="N116" s="11"/>
      <c r="O116" s="11"/>
      <c r="P116" s="11"/>
      <c r="Q116" s="11">
        <f>SUM(Q110:Q115)</f>
        <v>9669</v>
      </c>
      <c r="R116" s="11">
        <f>SUM(R110:R115)</f>
        <v>0</v>
      </c>
      <c r="S116" s="11">
        <f>SUM(S110:S115)</f>
        <v>116028</v>
      </c>
    </row>
    <row r="117" spans="1:19" ht="26.25" customHeight="1">
      <c r="A117" s="3" t="s">
        <v>29</v>
      </c>
      <c r="B117" s="2" t="s">
        <v>320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 customHeight="1">
      <c r="A118" s="7"/>
      <c r="B118" s="31" t="s">
        <v>502</v>
      </c>
      <c r="C118" s="7">
        <v>1</v>
      </c>
      <c r="D118" s="7">
        <v>11</v>
      </c>
      <c r="E118" s="7">
        <v>1678</v>
      </c>
      <c r="F118" s="7">
        <f>E118*C118</f>
        <v>1678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4">
        <f>E118*C118+SUM(G118:O118)</f>
        <v>1678</v>
      </c>
      <c r="R118" s="7"/>
      <c r="S118" s="4">
        <f>Q118*$R$17</f>
        <v>20136</v>
      </c>
    </row>
    <row r="119" spans="1:19" ht="12.75" customHeight="1">
      <c r="A119" s="7"/>
      <c r="B119" s="31" t="s">
        <v>197</v>
      </c>
      <c r="C119" s="7">
        <v>1</v>
      </c>
      <c r="D119" s="7">
        <v>10</v>
      </c>
      <c r="E119" s="7">
        <v>1551</v>
      </c>
      <c r="F119" s="7">
        <f>E119*C119</f>
        <v>1551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4">
        <f>E119*C119+SUM(G119:O119)</f>
        <v>1551</v>
      </c>
      <c r="R119" s="7"/>
      <c r="S119" s="4">
        <f>Q119*$R$17</f>
        <v>18612</v>
      </c>
    </row>
    <row r="120" spans="1:19" ht="12.75" customHeight="1">
      <c r="A120" s="121"/>
      <c r="B120" s="31" t="s">
        <v>55</v>
      </c>
      <c r="C120" s="7">
        <v>1</v>
      </c>
      <c r="D120" s="7">
        <v>7</v>
      </c>
      <c r="E120" s="7">
        <v>1312</v>
      </c>
      <c r="F120" s="7">
        <f>E120*C120</f>
        <v>1312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4">
        <f>E120*C120+SUM(G120:O120)</f>
        <v>1312</v>
      </c>
      <c r="R120" s="7"/>
      <c r="S120" s="4">
        <f>Q120*$R$17</f>
        <v>15744</v>
      </c>
    </row>
    <row r="121" spans="1:19" ht="12.75" customHeight="1">
      <c r="A121" s="121"/>
      <c r="B121" s="27" t="s">
        <v>52</v>
      </c>
      <c r="C121" s="8">
        <v>1</v>
      </c>
      <c r="D121" s="8">
        <v>4</v>
      </c>
      <c r="E121" s="8">
        <v>1243</v>
      </c>
      <c r="F121" s="7">
        <f>E121*C121</f>
        <v>1243</v>
      </c>
      <c r="G121" s="8"/>
      <c r="H121" s="8"/>
      <c r="I121" s="8"/>
      <c r="J121" s="8"/>
      <c r="K121" s="8"/>
      <c r="L121" s="8"/>
      <c r="M121" s="8"/>
      <c r="N121" s="8"/>
      <c r="O121" s="8"/>
      <c r="P121" s="7"/>
      <c r="Q121" s="4">
        <f>E121*C121+SUM(G121:O121)</f>
        <v>1243</v>
      </c>
      <c r="R121" s="7"/>
      <c r="S121" s="4">
        <f>Q121*$R$17</f>
        <v>14916</v>
      </c>
    </row>
    <row r="122" spans="1:19" ht="12.75" customHeight="1">
      <c r="A122" s="68"/>
      <c r="B122" s="26" t="s">
        <v>40</v>
      </c>
      <c r="C122" s="10">
        <f>SUM(C118:C121)</f>
        <v>4</v>
      </c>
      <c r="D122" s="10"/>
      <c r="E122" s="10"/>
      <c r="F122" s="10">
        <f>SUM(F118:F121)</f>
        <v>5784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f>SUM(Q118:Q121)</f>
        <v>5784</v>
      </c>
      <c r="R122" s="10">
        <f>SUM(R118:R121)</f>
        <v>0</v>
      </c>
      <c r="S122" s="10">
        <f>SUM(S118:S121)</f>
        <v>69408</v>
      </c>
    </row>
    <row r="123" spans="1:19" ht="12.75" customHeight="1">
      <c r="A123" s="122" t="s">
        <v>59</v>
      </c>
      <c r="B123" s="122" t="s">
        <v>60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2.75" customHeight="1">
      <c r="A124" s="121"/>
      <c r="B124" s="31" t="s">
        <v>502</v>
      </c>
      <c r="C124" s="7">
        <v>1</v>
      </c>
      <c r="D124" s="7">
        <v>11</v>
      </c>
      <c r="E124" s="7">
        <v>1678</v>
      </c>
      <c r="F124" s="7">
        <f>E124*C124</f>
        <v>1678</v>
      </c>
      <c r="G124" s="7"/>
      <c r="H124" s="7"/>
      <c r="I124" s="4"/>
      <c r="J124" s="4"/>
      <c r="K124" s="4"/>
      <c r="L124" s="4"/>
      <c r="M124" s="4"/>
      <c r="N124" s="4"/>
      <c r="O124" s="4"/>
      <c r="P124" s="4"/>
      <c r="Q124" s="4">
        <f>E124*C124+SUM(G124:O124)</f>
        <v>1678</v>
      </c>
      <c r="R124" s="4"/>
      <c r="S124" s="4">
        <f>Q124*$R$17</f>
        <v>20136</v>
      </c>
    </row>
    <row r="125" spans="1:19" ht="12.75" customHeight="1">
      <c r="A125" s="121"/>
      <c r="B125" s="121" t="s">
        <v>61</v>
      </c>
      <c r="C125" s="7">
        <v>1</v>
      </c>
      <c r="D125" s="7">
        <v>7</v>
      </c>
      <c r="E125" s="7">
        <v>1312</v>
      </c>
      <c r="F125" s="7">
        <f>E125*C125</f>
        <v>1312</v>
      </c>
      <c r="G125" s="7"/>
      <c r="H125" s="7"/>
      <c r="I125" s="4"/>
      <c r="J125" s="4"/>
      <c r="K125" s="4"/>
      <c r="L125" s="4"/>
      <c r="M125" s="4"/>
      <c r="N125" s="4"/>
      <c r="O125" s="4"/>
      <c r="P125" s="4"/>
      <c r="Q125" s="4">
        <f>E125*C125+SUM(G125:O125)</f>
        <v>1312</v>
      </c>
      <c r="R125" s="4"/>
      <c r="S125" s="4">
        <f>Q125*$R$17</f>
        <v>15744</v>
      </c>
    </row>
    <row r="126" spans="1:19" ht="12.75" customHeight="1">
      <c r="A126" s="120"/>
      <c r="B126" s="120" t="s">
        <v>481</v>
      </c>
      <c r="C126" s="8">
        <v>2</v>
      </c>
      <c r="D126" s="8">
        <v>6</v>
      </c>
      <c r="E126" s="8">
        <v>1263</v>
      </c>
      <c r="F126" s="7">
        <f>E126*C126</f>
        <v>2526</v>
      </c>
      <c r="G126" s="8"/>
      <c r="H126" s="8"/>
      <c r="I126" s="9"/>
      <c r="J126" s="9"/>
      <c r="K126" s="9"/>
      <c r="L126" s="9"/>
      <c r="M126" s="9"/>
      <c r="N126" s="9"/>
      <c r="O126" s="9"/>
      <c r="P126" s="4"/>
      <c r="Q126" s="4">
        <f>E126*C126+SUM(G126:O126)</f>
        <v>2526</v>
      </c>
      <c r="R126" s="4"/>
      <c r="S126" s="4">
        <f>Q126*$R$17</f>
        <v>30312</v>
      </c>
    </row>
    <row r="127" spans="1:19" ht="12.75" customHeight="1">
      <c r="A127" s="68"/>
      <c r="B127" s="26" t="s">
        <v>40</v>
      </c>
      <c r="C127" s="10">
        <f>SUM(C123:C126)</f>
        <v>4</v>
      </c>
      <c r="D127" s="10"/>
      <c r="E127" s="10"/>
      <c r="F127" s="10">
        <f>SUM(F124:F126)</f>
        <v>5516</v>
      </c>
      <c r="G127" s="10"/>
      <c r="H127" s="10"/>
      <c r="I127" s="11"/>
      <c r="J127" s="11"/>
      <c r="K127" s="11"/>
      <c r="L127" s="11"/>
      <c r="M127" s="11"/>
      <c r="N127" s="11"/>
      <c r="O127" s="11"/>
      <c r="P127" s="11"/>
      <c r="Q127" s="11">
        <f>SUM(Q124:Q126)</f>
        <v>5516</v>
      </c>
      <c r="R127" s="11">
        <f>SUM(R123:R126)</f>
        <v>0</v>
      </c>
      <c r="S127" s="11">
        <f>SUM(S123:S126)</f>
        <v>66192</v>
      </c>
    </row>
    <row r="128" spans="1:19" ht="12.75" customHeight="1">
      <c r="A128" s="202" t="s">
        <v>62</v>
      </c>
      <c r="B128" s="122" t="s">
        <v>63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customHeight="1">
      <c r="A129" s="163"/>
      <c r="B129" s="31" t="s">
        <v>502</v>
      </c>
      <c r="C129" s="7">
        <v>1</v>
      </c>
      <c r="D129" s="7">
        <v>11</v>
      </c>
      <c r="E129" s="7">
        <v>1678</v>
      </c>
      <c r="F129" s="7">
        <f>E129*C129</f>
        <v>1678</v>
      </c>
      <c r="G129" s="7"/>
      <c r="H129" s="7"/>
      <c r="I129" s="4"/>
      <c r="J129" s="4"/>
      <c r="K129" s="4"/>
      <c r="L129" s="4"/>
      <c r="M129" s="4"/>
      <c r="N129" s="4"/>
      <c r="O129" s="4"/>
      <c r="P129" s="4"/>
      <c r="Q129" s="4">
        <f>E129*C129+SUM(G129:O129)</f>
        <v>1678</v>
      </c>
      <c r="R129" s="4"/>
      <c r="S129" s="4">
        <f>Q129*$R$17</f>
        <v>20136</v>
      </c>
    </row>
    <row r="130" spans="1:19" ht="12.75" customHeight="1">
      <c r="A130" s="163"/>
      <c r="B130" s="121" t="s">
        <v>190</v>
      </c>
      <c r="C130" s="7">
        <v>2</v>
      </c>
      <c r="D130" s="7">
        <v>10</v>
      </c>
      <c r="E130" s="7">
        <v>1551</v>
      </c>
      <c r="F130" s="7">
        <f>E130*C130</f>
        <v>3102</v>
      </c>
      <c r="G130" s="8"/>
      <c r="H130" s="8"/>
      <c r="I130" s="9"/>
      <c r="J130" s="9"/>
      <c r="K130" s="9"/>
      <c r="L130" s="9"/>
      <c r="M130" s="9"/>
      <c r="N130" s="9"/>
      <c r="O130" s="9"/>
      <c r="P130" s="4"/>
      <c r="Q130" s="4">
        <f>E130*C130+SUM(G130:O130)</f>
        <v>3102</v>
      </c>
      <c r="R130" s="4"/>
      <c r="S130" s="4">
        <f>Q130*$R$17</f>
        <v>37224</v>
      </c>
    </row>
    <row r="131" spans="1:19" ht="12.75" customHeight="1">
      <c r="A131" s="68"/>
      <c r="B131" s="26" t="s">
        <v>40</v>
      </c>
      <c r="C131" s="10">
        <f>SUM(C128:C130)</f>
        <v>3</v>
      </c>
      <c r="D131" s="10"/>
      <c r="E131" s="10"/>
      <c r="F131" s="10">
        <f>SUM(F128:F130)</f>
        <v>4780</v>
      </c>
      <c r="G131" s="10"/>
      <c r="H131" s="10"/>
      <c r="I131" s="11"/>
      <c r="J131" s="11"/>
      <c r="K131" s="11"/>
      <c r="L131" s="11"/>
      <c r="M131" s="11"/>
      <c r="N131" s="11"/>
      <c r="O131" s="11"/>
      <c r="P131" s="11"/>
      <c r="Q131" s="11">
        <f>SUM(Q128:Q130)</f>
        <v>4780</v>
      </c>
      <c r="R131" s="11">
        <f>SUM(R128:R130)</f>
        <v>0</v>
      </c>
      <c r="S131" s="11">
        <f>SUM(S128:S130)</f>
        <v>57360</v>
      </c>
    </row>
    <row r="132" spans="1:19" ht="12.75" customHeight="1">
      <c r="A132" s="122" t="s">
        <v>64</v>
      </c>
      <c r="B132" s="122" t="s">
        <v>65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1"/>
      <c r="Q132" s="4"/>
      <c r="R132" s="3"/>
      <c r="S132" s="3"/>
    </row>
    <row r="133" spans="1:19" ht="12.75" customHeight="1">
      <c r="A133" s="121"/>
      <c r="B133" s="31" t="s">
        <v>502</v>
      </c>
      <c r="C133" s="7">
        <v>1</v>
      </c>
      <c r="D133" s="7">
        <v>11</v>
      </c>
      <c r="E133" s="7">
        <v>1678</v>
      </c>
      <c r="F133" s="7">
        <f>E133*C133</f>
        <v>1678</v>
      </c>
      <c r="G133" s="7"/>
      <c r="H133" s="7"/>
      <c r="I133" s="4"/>
      <c r="J133" s="4"/>
      <c r="K133" s="7"/>
      <c r="L133" s="7"/>
      <c r="M133" s="7"/>
      <c r="N133" s="7"/>
      <c r="O133" s="7"/>
      <c r="P133" s="4"/>
      <c r="Q133" s="4">
        <f>E133*C133+SUM(G133:O133)</f>
        <v>1678</v>
      </c>
      <c r="R133" s="7"/>
      <c r="S133" s="4">
        <f>Q133*$R$17</f>
        <v>20136</v>
      </c>
    </row>
    <row r="134" spans="1:19" ht="12.75" customHeight="1">
      <c r="A134" s="121"/>
      <c r="B134" s="31" t="s">
        <v>56</v>
      </c>
      <c r="C134" s="7">
        <v>1</v>
      </c>
      <c r="D134" s="7">
        <v>8</v>
      </c>
      <c r="E134" s="7">
        <v>1397</v>
      </c>
      <c r="F134" s="7">
        <f>E134*C134</f>
        <v>1397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4">
        <f>E134*C134+SUM(G134:O134)</f>
        <v>1397</v>
      </c>
      <c r="R134" s="7"/>
      <c r="S134" s="4">
        <f>Q134*$R$17</f>
        <v>16764</v>
      </c>
    </row>
    <row r="135" spans="1:19" ht="12.75" customHeight="1">
      <c r="A135" s="121"/>
      <c r="B135" s="31" t="s">
        <v>77</v>
      </c>
      <c r="C135" s="7">
        <v>1</v>
      </c>
      <c r="D135" s="7">
        <v>7</v>
      </c>
      <c r="E135" s="7">
        <v>1312</v>
      </c>
      <c r="F135" s="7">
        <f>E135*C135</f>
        <v>1312</v>
      </c>
      <c r="G135" s="7"/>
      <c r="H135" s="7"/>
      <c r="I135" s="4"/>
      <c r="J135" s="4"/>
      <c r="K135" s="4"/>
      <c r="L135" s="4"/>
      <c r="M135" s="4"/>
      <c r="N135" s="4"/>
      <c r="O135" s="4"/>
      <c r="P135" s="4"/>
      <c r="Q135" s="4">
        <f>E135*C135+SUM(G135:O135)</f>
        <v>1312</v>
      </c>
      <c r="R135" s="4"/>
      <c r="S135" s="4">
        <f>Q135*$R$17</f>
        <v>15744</v>
      </c>
    </row>
    <row r="136" spans="1:19" ht="12.75" customHeight="1">
      <c r="A136" s="121"/>
      <c r="B136" s="31" t="s">
        <v>483</v>
      </c>
      <c r="C136" s="7">
        <v>1</v>
      </c>
      <c r="D136" s="7">
        <v>6</v>
      </c>
      <c r="E136" s="7">
        <v>1263</v>
      </c>
      <c r="F136" s="7">
        <f>E136*C136</f>
        <v>1263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4">
        <f>E136*C136+SUM(G136:O136)</f>
        <v>1263</v>
      </c>
      <c r="R136" s="7"/>
      <c r="S136" s="4">
        <f>Q136*$R$17</f>
        <v>15156</v>
      </c>
    </row>
    <row r="137" spans="1:19" ht="12.75" customHeight="1">
      <c r="A137" s="121"/>
      <c r="B137" s="31" t="s">
        <v>50</v>
      </c>
      <c r="C137" s="7">
        <v>1</v>
      </c>
      <c r="D137" s="7">
        <v>4</v>
      </c>
      <c r="E137" s="7">
        <v>1243</v>
      </c>
      <c r="F137" s="7">
        <f>E137*C137</f>
        <v>1243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4">
        <f>E137*C137+SUM(G137:O137)</f>
        <v>1243</v>
      </c>
      <c r="R137" s="7"/>
      <c r="S137" s="4">
        <f>Q137*$R$17</f>
        <v>14916</v>
      </c>
    </row>
    <row r="138" spans="1:19" ht="12.75" customHeight="1">
      <c r="A138" s="68"/>
      <c r="B138" s="26" t="s">
        <v>40</v>
      </c>
      <c r="C138" s="10">
        <f>SUM(C133:C137)</f>
        <v>5</v>
      </c>
      <c r="D138" s="10"/>
      <c r="E138" s="10"/>
      <c r="F138" s="10">
        <f>SUM(F133:F137)</f>
        <v>6893</v>
      </c>
      <c r="G138" s="10"/>
      <c r="H138" s="10"/>
      <c r="I138" s="11"/>
      <c r="J138" s="11"/>
      <c r="K138" s="11"/>
      <c r="L138" s="11"/>
      <c r="M138" s="11"/>
      <c r="N138" s="11"/>
      <c r="O138" s="11"/>
      <c r="P138" s="11"/>
      <c r="Q138" s="11">
        <f>SUM(Q133:Q137)</f>
        <v>6893</v>
      </c>
      <c r="R138" s="11">
        <f>SUM(R133:R137)</f>
        <v>0</v>
      </c>
      <c r="S138" s="11">
        <f>SUM(S133:S137)</f>
        <v>82716</v>
      </c>
    </row>
    <row r="139" spans="1:19" ht="12.75" customHeight="1">
      <c r="A139" s="3" t="s">
        <v>66</v>
      </c>
      <c r="B139" s="39" t="s">
        <v>293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"/>
    </row>
    <row r="140" spans="1:19" ht="12.75" customHeight="1">
      <c r="A140" s="7"/>
      <c r="B140" s="31" t="s">
        <v>502</v>
      </c>
      <c r="C140" s="7">
        <v>1</v>
      </c>
      <c r="D140" s="7">
        <v>11</v>
      </c>
      <c r="E140" s="7">
        <v>1678</v>
      </c>
      <c r="F140" s="7">
        <f>E140*C140</f>
        <v>1678</v>
      </c>
      <c r="G140" s="7"/>
      <c r="H140" s="7"/>
      <c r="I140" s="4"/>
      <c r="J140" s="7"/>
      <c r="K140" s="7"/>
      <c r="L140" s="7"/>
      <c r="M140" s="7"/>
      <c r="N140" s="7"/>
      <c r="O140" s="7"/>
      <c r="P140" s="4"/>
      <c r="Q140" s="4">
        <f>E140*C140+SUM(G140:O140)</f>
        <v>1678</v>
      </c>
      <c r="R140" s="7"/>
      <c r="S140" s="4">
        <f>Q140*$R$17</f>
        <v>20136</v>
      </c>
    </row>
    <row r="141" spans="1:19" ht="12.75" customHeight="1">
      <c r="A141" s="7"/>
      <c r="B141" s="31" t="s">
        <v>51</v>
      </c>
      <c r="C141" s="7">
        <v>3</v>
      </c>
      <c r="D141" s="7">
        <v>7</v>
      </c>
      <c r="E141" s="7">
        <v>1312</v>
      </c>
      <c r="F141" s="7">
        <f>E141*C141</f>
        <v>3936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4">
        <f>E141*C141+SUM(G141:O141)</f>
        <v>3936</v>
      </c>
      <c r="R141" s="7"/>
      <c r="S141" s="4">
        <f>Q141*$R$17</f>
        <v>47232</v>
      </c>
    </row>
    <row r="142" spans="1:19" ht="12.75" customHeight="1">
      <c r="A142" s="7"/>
      <c r="B142" s="31" t="s">
        <v>198</v>
      </c>
      <c r="C142" s="7">
        <v>0.5</v>
      </c>
      <c r="D142" s="7">
        <v>4</v>
      </c>
      <c r="E142" s="7">
        <v>1243</v>
      </c>
      <c r="F142" s="7">
        <f>E142*C142</f>
        <v>621.5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4">
        <f>E142*C142+SUM(G142:O142)</f>
        <v>621.5</v>
      </c>
      <c r="R142" s="7"/>
      <c r="S142" s="4">
        <f>Q142*$R$17</f>
        <v>7458</v>
      </c>
    </row>
    <row r="143" spans="1:19" ht="12.75" customHeight="1">
      <c r="A143" s="8"/>
      <c r="B143" s="27" t="s">
        <v>48</v>
      </c>
      <c r="C143" s="8">
        <v>0.5</v>
      </c>
      <c r="D143" s="8">
        <v>5</v>
      </c>
      <c r="E143" s="8">
        <v>1253</v>
      </c>
      <c r="F143" s="7">
        <f>E143*C143</f>
        <v>626.5</v>
      </c>
      <c r="G143" s="8"/>
      <c r="H143" s="8"/>
      <c r="I143" s="8"/>
      <c r="J143" s="8"/>
      <c r="K143" s="8"/>
      <c r="L143" s="8"/>
      <c r="M143" s="8"/>
      <c r="N143" s="8"/>
      <c r="O143" s="8"/>
      <c r="P143" s="7"/>
      <c r="Q143" s="4">
        <f>E143*C143+SUM(G143:O143)</f>
        <v>626.5</v>
      </c>
      <c r="R143" s="7"/>
      <c r="S143" s="4">
        <f>Q143*$R$17</f>
        <v>7518</v>
      </c>
    </row>
    <row r="144" spans="1:19" ht="12.75" customHeight="1">
      <c r="A144" s="10"/>
      <c r="B144" s="26" t="s">
        <v>40</v>
      </c>
      <c r="C144" s="10">
        <f>SUM(C140:C143)</f>
        <v>5</v>
      </c>
      <c r="D144" s="10"/>
      <c r="E144" s="10"/>
      <c r="F144" s="10">
        <f>SUM(F140:F143)</f>
        <v>6862</v>
      </c>
      <c r="G144" s="10"/>
      <c r="H144" s="10"/>
      <c r="I144" s="11"/>
      <c r="J144" s="11"/>
      <c r="K144" s="11"/>
      <c r="L144" s="11"/>
      <c r="M144" s="11"/>
      <c r="N144" s="11"/>
      <c r="O144" s="11"/>
      <c r="P144" s="11"/>
      <c r="Q144" s="11">
        <f>SUM(Q139:Q143)</f>
        <v>6862</v>
      </c>
      <c r="R144" s="11">
        <f>SUM(R140:R143)</f>
        <v>0</v>
      </c>
      <c r="S144" s="11">
        <f>SUM(S140:S143)</f>
        <v>82344</v>
      </c>
    </row>
    <row r="145" spans="1:19" ht="12.75" customHeight="1">
      <c r="A145" s="3" t="s">
        <v>67</v>
      </c>
      <c r="B145" s="2" t="s">
        <v>262</v>
      </c>
      <c r="C145" s="7"/>
      <c r="D145" s="7"/>
      <c r="E145" s="7"/>
      <c r="F145" s="7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2.75" customHeight="1">
      <c r="A146" s="7"/>
      <c r="B146" s="31" t="s">
        <v>502</v>
      </c>
      <c r="C146" s="7">
        <v>1</v>
      </c>
      <c r="D146" s="7">
        <v>11</v>
      </c>
      <c r="E146" s="7">
        <v>1678</v>
      </c>
      <c r="F146" s="7">
        <f>E146*C146</f>
        <v>1678</v>
      </c>
      <c r="G146" s="121"/>
      <c r="H146" s="121"/>
      <c r="I146" s="4"/>
      <c r="J146" s="121"/>
      <c r="K146" s="121"/>
      <c r="L146" s="121"/>
      <c r="M146" s="121"/>
      <c r="N146" s="121"/>
      <c r="O146" s="121"/>
      <c r="P146" s="4"/>
      <c r="Q146" s="4">
        <f>E146*C146+SUM(G146:O146)</f>
        <v>1678</v>
      </c>
      <c r="R146" s="121"/>
      <c r="S146" s="4">
        <f>Q146*$R$17</f>
        <v>20136</v>
      </c>
    </row>
    <row r="147" spans="1:19" ht="12.75" customHeight="1">
      <c r="A147" s="7"/>
      <c r="B147" s="31" t="s">
        <v>58</v>
      </c>
      <c r="C147" s="7">
        <v>1</v>
      </c>
      <c r="D147" s="7">
        <v>10</v>
      </c>
      <c r="E147" s="7">
        <v>1551</v>
      </c>
      <c r="F147" s="7">
        <f>E147*C147</f>
        <v>1551</v>
      </c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4">
        <f>E147*C147+SUM(G147:O147)</f>
        <v>1551</v>
      </c>
      <c r="R147" s="121"/>
      <c r="S147" s="4">
        <f>Q147*$R$17</f>
        <v>18612</v>
      </c>
    </row>
    <row r="148" spans="1:19" ht="12.75" customHeight="1">
      <c r="A148" s="7"/>
      <c r="B148" s="31" t="s">
        <v>182</v>
      </c>
      <c r="C148" s="7">
        <v>1</v>
      </c>
      <c r="D148" s="7">
        <v>9</v>
      </c>
      <c r="E148" s="7">
        <v>1474</v>
      </c>
      <c r="F148" s="7">
        <f>E148*C148</f>
        <v>1474</v>
      </c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4">
        <f>E148*C148+SUM(G148:O148)</f>
        <v>1474</v>
      </c>
      <c r="R148" s="121"/>
      <c r="S148" s="4">
        <f>Q148*$R$17</f>
        <v>17688</v>
      </c>
    </row>
    <row r="149" spans="1:19" ht="12.75" customHeight="1">
      <c r="A149" s="7"/>
      <c r="B149" s="31" t="s">
        <v>227</v>
      </c>
      <c r="C149" s="7">
        <v>1</v>
      </c>
      <c r="D149" s="7">
        <v>4</v>
      </c>
      <c r="E149" s="7">
        <v>1243</v>
      </c>
      <c r="F149" s="7">
        <f>E149*C149</f>
        <v>1243</v>
      </c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4">
        <f>E149*C149+SUM(G149:O149)</f>
        <v>1243</v>
      </c>
      <c r="R149" s="121"/>
      <c r="S149" s="4">
        <f>Q149*$R$17</f>
        <v>14916</v>
      </c>
    </row>
    <row r="150" spans="1:19" ht="12.75" customHeight="1">
      <c r="A150" s="10"/>
      <c r="B150" s="26" t="s">
        <v>40</v>
      </c>
      <c r="C150" s="10">
        <f>SUM(C146:C149)</f>
        <v>4</v>
      </c>
      <c r="D150" s="10"/>
      <c r="E150" s="10"/>
      <c r="F150" s="10">
        <f>SUM(F146:F149)</f>
        <v>5946</v>
      </c>
      <c r="G150" s="10"/>
      <c r="H150" s="10"/>
      <c r="I150" s="11"/>
      <c r="J150" s="11"/>
      <c r="K150" s="11"/>
      <c r="L150" s="11"/>
      <c r="M150" s="11"/>
      <c r="N150" s="11"/>
      <c r="O150" s="11"/>
      <c r="P150" s="11"/>
      <c r="Q150" s="11">
        <f>SUM(Q146:Q149)</f>
        <v>5946</v>
      </c>
      <c r="R150" s="11">
        <f>SUM(R146:R149)</f>
        <v>0</v>
      </c>
      <c r="S150" s="11">
        <f>SUM(S146:S149)</f>
        <v>71352</v>
      </c>
    </row>
    <row r="151" spans="1:19" ht="12.75" customHeight="1">
      <c r="A151" s="3" t="s">
        <v>68</v>
      </c>
      <c r="B151" s="122" t="s">
        <v>69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 customHeight="1">
      <c r="A152" s="7"/>
      <c r="B152" s="31" t="s">
        <v>502</v>
      </c>
      <c r="C152" s="7">
        <v>1</v>
      </c>
      <c r="D152" s="7">
        <v>11</v>
      </c>
      <c r="E152" s="7">
        <v>1678</v>
      </c>
      <c r="F152" s="7">
        <f>E152*C152</f>
        <v>1678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4">
        <f>E152*C152+SUM(G152:O152)</f>
        <v>1678</v>
      </c>
      <c r="R152" s="7"/>
      <c r="S152" s="4">
        <f>Q152*$R$17</f>
        <v>20136</v>
      </c>
    </row>
    <row r="153" spans="1:19" ht="12.75" customHeight="1">
      <c r="A153" s="7"/>
      <c r="B153" s="31" t="s">
        <v>206</v>
      </c>
      <c r="C153" s="7">
        <v>1</v>
      </c>
      <c r="D153" s="7">
        <v>10</v>
      </c>
      <c r="E153" s="7">
        <v>1551</v>
      </c>
      <c r="F153" s="7">
        <f>E153*C153</f>
        <v>1551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4">
        <f>E153*C153+SUM(G153:O153)</f>
        <v>1551</v>
      </c>
      <c r="R153" s="7"/>
      <c r="S153" s="4">
        <f>Q153*$R$17</f>
        <v>18612</v>
      </c>
    </row>
    <row r="154" spans="1:19" ht="12.75" customHeight="1">
      <c r="A154" s="7"/>
      <c r="B154" s="31" t="s">
        <v>481</v>
      </c>
      <c r="C154" s="7">
        <v>0.5</v>
      </c>
      <c r="D154" s="7">
        <v>6</v>
      </c>
      <c r="E154" s="7">
        <v>1263</v>
      </c>
      <c r="F154" s="7">
        <f>E154*C154</f>
        <v>631.5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4">
        <f>E154*C154+SUM(G154:O154)</f>
        <v>631.5</v>
      </c>
      <c r="R154" s="7"/>
      <c r="S154" s="4">
        <f>Q154*$R$17</f>
        <v>7578</v>
      </c>
    </row>
    <row r="155" spans="1:19" ht="12.75" customHeight="1">
      <c r="A155" s="7"/>
      <c r="B155" s="31" t="s">
        <v>48</v>
      </c>
      <c r="C155" s="7">
        <v>1</v>
      </c>
      <c r="D155" s="7">
        <v>5</v>
      </c>
      <c r="E155" s="7">
        <v>1253</v>
      </c>
      <c r="F155" s="7">
        <f>E155*C155</f>
        <v>1253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4">
        <f>E155*C155+SUM(G155:O155)</f>
        <v>1253</v>
      </c>
      <c r="R155" s="7"/>
      <c r="S155" s="4">
        <f>Q155*$R$17</f>
        <v>15036</v>
      </c>
    </row>
    <row r="156" spans="1:19" ht="12.75" customHeight="1">
      <c r="A156" s="8"/>
      <c r="B156" s="27" t="s">
        <v>50</v>
      </c>
      <c r="C156" s="8">
        <v>0.5</v>
      </c>
      <c r="D156" s="8">
        <v>4</v>
      </c>
      <c r="E156" s="8">
        <v>1243</v>
      </c>
      <c r="F156" s="7">
        <f>E156*C156</f>
        <v>621.5</v>
      </c>
      <c r="G156" s="8"/>
      <c r="H156" s="8"/>
      <c r="I156" s="8"/>
      <c r="J156" s="8"/>
      <c r="K156" s="8"/>
      <c r="L156" s="8"/>
      <c r="M156" s="8"/>
      <c r="N156" s="8"/>
      <c r="O156" s="8"/>
      <c r="P156" s="7"/>
      <c r="Q156" s="4">
        <f>E156*C156+SUM(G156:O156)</f>
        <v>621.5</v>
      </c>
      <c r="R156" s="7"/>
      <c r="S156" s="4">
        <f>Q156*$R$17</f>
        <v>7458</v>
      </c>
    </row>
    <row r="157" spans="1:19" ht="12.75" customHeight="1">
      <c r="A157" s="10"/>
      <c r="B157" s="26" t="s">
        <v>40</v>
      </c>
      <c r="C157" s="10">
        <f>SUM(C152:C156)</f>
        <v>4</v>
      </c>
      <c r="D157" s="10"/>
      <c r="E157" s="10"/>
      <c r="F157" s="10">
        <f>SUM(F152:F156)</f>
        <v>5735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>
        <f>SUM(Q152:Q156)</f>
        <v>5735</v>
      </c>
      <c r="R157" s="10">
        <f>SUM(R152:R156)</f>
        <v>0</v>
      </c>
      <c r="S157" s="10">
        <f>SUM(S152:S156)</f>
        <v>68820</v>
      </c>
    </row>
    <row r="158" spans="1:19" ht="24.75" customHeight="1">
      <c r="A158" s="3" t="s">
        <v>70</v>
      </c>
      <c r="B158" s="2" t="s">
        <v>435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 customHeight="1">
      <c r="A159" s="7"/>
      <c r="B159" s="31" t="s">
        <v>502</v>
      </c>
      <c r="C159" s="7">
        <v>1</v>
      </c>
      <c r="D159" s="7">
        <v>11</v>
      </c>
      <c r="E159" s="7">
        <v>1678</v>
      </c>
      <c r="F159" s="7">
        <f aca="true" t="shared" si="15" ref="F159:F164">E159*C159</f>
        <v>1678</v>
      </c>
      <c r="G159" s="7"/>
      <c r="H159" s="7"/>
      <c r="I159" s="4"/>
      <c r="J159" s="4"/>
      <c r="K159" s="7"/>
      <c r="L159" s="7"/>
      <c r="M159" s="7"/>
      <c r="N159" s="7"/>
      <c r="O159" s="7"/>
      <c r="P159" s="4"/>
      <c r="Q159" s="4">
        <f aca="true" t="shared" si="16" ref="Q159:Q164">E159*C159+SUM(G159:O159)</f>
        <v>1678</v>
      </c>
      <c r="R159" s="7"/>
      <c r="S159" s="4">
        <f aca="true" t="shared" si="17" ref="S159:S164">Q159*$R$17</f>
        <v>20136</v>
      </c>
    </row>
    <row r="160" spans="1:19" ht="12.75" customHeight="1">
      <c r="A160" s="7"/>
      <c r="B160" s="31" t="s">
        <v>206</v>
      </c>
      <c r="C160" s="7">
        <v>1</v>
      </c>
      <c r="D160" s="7">
        <v>10</v>
      </c>
      <c r="E160" s="7">
        <v>1551</v>
      </c>
      <c r="F160" s="7">
        <f t="shared" si="15"/>
        <v>1551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4">
        <f t="shared" si="16"/>
        <v>1551</v>
      </c>
      <c r="R160" s="7"/>
      <c r="S160" s="4">
        <f t="shared" si="17"/>
        <v>18612</v>
      </c>
    </row>
    <row r="161" spans="1:19" ht="12.75" customHeight="1">
      <c r="A161" s="7"/>
      <c r="B161" s="31" t="s">
        <v>55</v>
      </c>
      <c r="C161" s="7">
        <v>1</v>
      </c>
      <c r="D161" s="7">
        <v>7</v>
      </c>
      <c r="E161" s="7">
        <v>1312</v>
      </c>
      <c r="F161" s="7">
        <f t="shared" si="15"/>
        <v>1312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4">
        <f t="shared" si="16"/>
        <v>1312</v>
      </c>
      <c r="R161" s="7"/>
      <c r="S161" s="4">
        <f t="shared" si="17"/>
        <v>15744</v>
      </c>
    </row>
    <row r="162" spans="1:19" ht="12.75" customHeight="1">
      <c r="A162" s="7"/>
      <c r="B162" s="31" t="s">
        <v>483</v>
      </c>
      <c r="C162" s="7">
        <v>1</v>
      </c>
      <c r="D162" s="7">
        <v>6</v>
      </c>
      <c r="E162" s="7">
        <v>1263</v>
      </c>
      <c r="F162" s="7">
        <f t="shared" si="15"/>
        <v>1263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4">
        <f t="shared" si="16"/>
        <v>1263</v>
      </c>
      <c r="R162" s="7"/>
      <c r="S162" s="4">
        <f t="shared" si="17"/>
        <v>15156</v>
      </c>
    </row>
    <row r="163" spans="1:19" ht="12.75" customHeight="1">
      <c r="A163" s="7"/>
      <c r="B163" s="31" t="s">
        <v>484</v>
      </c>
      <c r="C163" s="7">
        <v>0.5</v>
      </c>
      <c r="D163" s="7">
        <v>4</v>
      </c>
      <c r="E163" s="7">
        <v>1243</v>
      </c>
      <c r="F163" s="7">
        <f t="shared" si="15"/>
        <v>621.5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4">
        <f t="shared" si="16"/>
        <v>621.5</v>
      </c>
      <c r="R163" s="7"/>
      <c r="S163" s="4">
        <f t="shared" si="17"/>
        <v>7458</v>
      </c>
    </row>
    <row r="164" spans="1:19" ht="12.75" customHeight="1">
      <c r="A164" s="8"/>
      <c r="B164" s="27" t="s">
        <v>57</v>
      </c>
      <c r="C164" s="8">
        <v>1</v>
      </c>
      <c r="D164" s="8">
        <v>4</v>
      </c>
      <c r="E164" s="8">
        <v>1243</v>
      </c>
      <c r="F164" s="7">
        <f t="shared" si="15"/>
        <v>1243</v>
      </c>
      <c r="G164" s="8"/>
      <c r="H164" s="8"/>
      <c r="I164" s="8"/>
      <c r="J164" s="8"/>
      <c r="K164" s="8"/>
      <c r="L164" s="8"/>
      <c r="M164" s="8"/>
      <c r="N164" s="8"/>
      <c r="O164" s="8"/>
      <c r="P164" s="7"/>
      <c r="Q164" s="4">
        <f t="shared" si="16"/>
        <v>1243</v>
      </c>
      <c r="R164" s="7"/>
      <c r="S164" s="4">
        <f t="shared" si="17"/>
        <v>14916</v>
      </c>
    </row>
    <row r="165" spans="1:19" ht="12.75" customHeight="1">
      <c r="A165" s="10"/>
      <c r="B165" s="26" t="s">
        <v>40</v>
      </c>
      <c r="C165" s="10">
        <f>SUM(C159:C164)</f>
        <v>5.5</v>
      </c>
      <c r="D165" s="10"/>
      <c r="E165" s="10"/>
      <c r="F165" s="10">
        <f>SUM(F159:F164)</f>
        <v>7668.5</v>
      </c>
      <c r="G165" s="10"/>
      <c r="H165" s="10"/>
      <c r="I165" s="11"/>
      <c r="J165" s="11"/>
      <c r="K165" s="11"/>
      <c r="L165" s="11"/>
      <c r="M165" s="11"/>
      <c r="N165" s="11"/>
      <c r="O165" s="11"/>
      <c r="P165" s="11"/>
      <c r="Q165" s="11">
        <f>SUM(Q159:Q164)</f>
        <v>7668.5</v>
      </c>
      <c r="R165" s="11">
        <f>SUM(R159:R164)</f>
        <v>0</v>
      </c>
      <c r="S165" s="11">
        <f>SUM(S159:S164)</f>
        <v>92022</v>
      </c>
    </row>
    <row r="166" spans="1:19" ht="12.75" customHeight="1">
      <c r="A166" s="3" t="s">
        <v>71</v>
      </c>
      <c r="B166" s="2" t="s">
        <v>235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 customHeight="1">
      <c r="A167" s="7"/>
      <c r="B167" s="31" t="s">
        <v>502</v>
      </c>
      <c r="C167" s="7">
        <v>1</v>
      </c>
      <c r="D167" s="7">
        <v>11</v>
      </c>
      <c r="E167" s="7">
        <v>1678</v>
      </c>
      <c r="F167" s="7">
        <f>E167*C167</f>
        <v>1678</v>
      </c>
      <c r="G167" s="7"/>
      <c r="H167" s="7"/>
      <c r="I167" s="4"/>
      <c r="J167" s="4"/>
      <c r="K167" s="7"/>
      <c r="L167" s="7"/>
      <c r="M167" s="7"/>
      <c r="N167" s="7"/>
      <c r="O167" s="7"/>
      <c r="P167" s="4"/>
      <c r="Q167" s="4">
        <f>E167*C167+SUM(G167:O167)</f>
        <v>1678</v>
      </c>
      <c r="R167" s="7"/>
      <c r="S167" s="4">
        <f>Q167*$R$17</f>
        <v>20136</v>
      </c>
    </row>
    <row r="168" spans="1:19" ht="12.75" customHeight="1">
      <c r="A168" s="7"/>
      <c r="B168" s="31" t="s">
        <v>58</v>
      </c>
      <c r="C168" s="7">
        <v>1</v>
      </c>
      <c r="D168" s="7">
        <v>10</v>
      </c>
      <c r="E168" s="7">
        <v>1551</v>
      </c>
      <c r="F168" s="7">
        <f>E168*C168</f>
        <v>1551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4">
        <f>E168*C168+SUM(G168:O168)</f>
        <v>1551</v>
      </c>
      <c r="R168" s="7"/>
      <c r="S168" s="4">
        <f>Q168*$R$17</f>
        <v>18612</v>
      </c>
    </row>
    <row r="169" spans="1:19" ht="12.75" customHeight="1">
      <c r="A169" s="7"/>
      <c r="B169" s="31" t="s">
        <v>481</v>
      </c>
      <c r="C169" s="7">
        <v>1</v>
      </c>
      <c r="D169" s="7">
        <v>6</v>
      </c>
      <c r="E169" s="7">
        <v>1263</v>
      </c>
      <c r="F169" s="7">
        <f>E169*C169</f>
        <v>1263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4">
        <f>E169*C169+SUM(G169:O169)</f>
        <v>1263</v>
      </c>
      <c r="R169" s="7"/>
      <c r="S169" s="4">
        <f>Q169*$R$17</f>
        <v>15156</v>
      </c>
    </row>
    <row r="170" spans="1:19" ht="12.75" customHeight="1">
      <c r="A170" s="7"/>
      <c r="B170" s="31" t="s">
        <v>485</v>
      </c>
      <c r="C170" s="7">
        <v>1</v>
      </c>
      <c r="D170" s="7">
        <v>5</v>
      </c>
      <c r="E170" s="7">
        <v>1253</v>
      </c>
      <c r="F170" s="7">
        <f>E170*C170</f>
        <v>1253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4">
        <f>E170*C170+SUM(G170:O170)</f>
        <v>1253</v>
      </c>
      <c r="R170" s="7"/>
      <c r="S170" s="4">
        <f>Q170*$R$17</f>
        <v>15036</v>
      </c>
    </row>
    <row r="171" spans="1:19" ht="12.75" customHeight="1">
      <c r="A171" s="10"/>
      <c r="B171" s="26" t="s">
        <v>40</v>
      </c>
      <c r="C171" s="10">
        <f>SUM(C167:C170)</f>
        <v>4</v>
      </c>
      <c r="D171" s="10"/>
      <c r="E171" s="10"/>
      <c r="F171" s="10">
        <f>SUM(F167:F170)</f>
        <v>5745</v>
      </c>
      <c r="G171" s="10"/>
      <c r="H171" s="10"/>
      <c r="I171" s="11"/>
      <c r="J171" s="11"/>
      <c r="K171" s="10"/>
      <c r="L171" s="10"/>
      <c r="M171" s="10"/>
      <c r="N171" s="10"/>
      <c r="O171" s="10"/>
      <c r="P171" s="11"/>
      <c r="Q171" s="10">
        <f>SUM(Q167:Q170)</f>
        <v>5745</v>
      </c>
      <c r="R171" s="10">
        <f>SUM(R167:R170)</f>
        <v>0</v>
      </c>
      <c r="S171" s="10">
        <f>SUM(S167:S170)</f>
        <v>68940</v>
      </c>
    </row>
    <row r="172" spans="1:19" ht="12.75" customHeight="1">
      <c r="A172" s="3" t="s">
        <v>72</v>
      </c>
      <c r="B172" s="2" t="s">
        <v>73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 customHeight="1">
      <c r="A173" s="8"/>
      <c r="B173" s="27" t="s">
        <v>162</v>
      </c>
      <c r="C173" s="8">
        <v>2</v>
      </c>
      <c r="D173" s="8">
        <v>6</v>
      </c>
      <c r="E173" s="8">
        <v>1263</v>
      </c>
      <c r="F173" s="7">
        <f>E173*C173</f>
        <v>2526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4">
        <f>E173*C173+SUM(G173:O173)</f>
        <v>2526</v>
      </c>
      <c r="R173" s="7"/>
      <c r="S173" s="4">
        <f>Q173*$R$17</f>
        <v>30312</v>
      </c>
    </row>
    <row r="174" spans="1:19" ht="12.75" customHeight="1">
      <c r="A174" s="10"/>
      <c r="B174" s="26" t="s">
        <v>40</v>
      </c>
      <c r="C174" s="10">
        <f>SUM(C173:C173)</f>
        <v>2</v>
      </c>
      <c r="D174" s="10"/>
      <c r="E174" s="10"/>
      <c r="F174" s="10">
        <f>SUM(F173:F173)</f>
        <v>2526</v>
      </c>
      <c r="G174" s="10"/>
      <c r="H174" s="10"/>
      <c r="I174" s="11"/>
      <c r="J174" s="11"/>
      <c r="K174" s="11"/>
      <c r="L174" s="11"/>
      <c r="M174" s="11"/>
      <c r="N174" s="11"/>
      <c r="O174" s="11"/>
      <c r="P174" s="11"/>
      <c r="Q174" s="11">
        <f>SUM(Q173:Q173)</f>
        <v>2526</v>
      </c>
      <c r="R174" s="11">
        <f>SUM(R173:R173)</f>
        <v>0</v>
      </c>
      <c r="S174" s="11">
        <f>SUM(S173:S173)</f>
        <v>30312</v>
      </c>
    </row>
    <row r="175" spans="1:19" ht="12.75" customHeight="1">
      <c r="A175" s="3" t="s">
        <v>74</v>
      </c>
      <c r="B175" s="2" t="s">
        <v>75</v>
      </c>
      <c r="C175" s="3"/>
      <c r="D175" s="3"/>
      <c r="E175" s="3"/>
      <c r="F175" s="3"/>
      <c r="G175" s="3"/>
      <c r="H175" s="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2.75" customHeight="1">
      <c r="A176" s="7"/>
      <c r="B176" s="31" t="s">
        <v>37</v>
      </c>
      <c r="C176" s="7">
        <v>2</v>
      </c>
      <c r="D176" s="7">
        <v>6</v>
      </c>
      <c r="E176" s="7">
        <v>1263</v>
      </c>
      <c r="F176" s="7">
        <f>E176*C176</f>
        <v>2526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4">
        <f>E176*C176+SUM(G176:O176)</f>
        <v>2526</v>
      </c>
      <c r="R176" s="7"/>
      <c r="S176" s="4">
        <f>Q176*$R$17</f>
        <v>30312</v>
      </c>
    </row>
    <row r="177" spans="1:19" ht="12.75" customHeight="1">
      <c r="A177" s="10"/>
      <c r="B177" s="26" t="s">
        <v>40</v>
      </c>
      <c r="C177" s="10">
        <f>SUM(C176:C176)</f>
        <v>2</v>
      </c>
      <c r="D177" s="10"/>
      <c r="E177" s="10"/>
      <c r="F177" s="10">
        <f>SUM(F176:F176)</f>
        <v>2526</v>
      </c>
      <c r="G177" s="10"/>
      <c r="H177" s="10"/>
      <c r="I177" s="11"/>
      <c r="J177" s="11"/>
      <c r="K177" s="11"/>
      <c r="L177" s="11"/>
      <c r="M177" s="11"/>
      <c r="N177" s="11"/>
      <c r="O177" s="11"/>
      <c r="P177" s="11"/>
      <c r="Q177" s="11">
        <f>SUM(Q176:Q176)</f>
        <v>2526</v>
      </c>
      <c r="R177" s="11">
        <f>SUM(R176:R176)</f>
        <v>0</v>
      </c>
      <c r="S177" s="11">
        <f>SUM(S176:S176)</f>
        <v>30312</v>
      </c>
    </row>
    <row r="178" spans="1:19" ht="24.75" customHeight="1">
      <c r="A178" s="3" t="s">
        <v>76</v>
      </c>
      <c r="B178" s="2" t="s">
        <v>251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 customHeight="1">
      <c r="A179" s="7"/>
      <c r="B179" s="31" t="s">
        <v>541</v>
      </c>
      <c r="C179" s="7">
        <v>1</v>
      </c>
      <c r="D179" s="7">
        <v>11</v>
      </c>
      <c r="E179" s="7">
        <v>1678</v>
      </c>
      <c r="F179" s="7">
        <f>E179*C179</f>
        <v>1678</v>
      </c>
      <c r="G179" s="7"/>
      <c r="H179" s="7"/>
      <c r="I179" s="4"/>
      <c r="J179" s="7"/>
      <c r="K179" s="7"/>
      <c r="L179" s="7"/>
      <c r="M179" s="7"/>
      <c r="N179" s="7"/>
      <c r="O179" s="7"/>
      <c r="P179" s="4"/>
      <c r="Q179" s="4">
        <f>E179*C179+SUM(G179:O179)</f>
        <v>1678</v>
      </c>
      <c r="R179" s="7"/>
      <c r="S179" s="4">
        <f>Q179*$R$17</f>
        <v>20136</v>
      </c>
    </row>
    <row r="180" spans="1:19" ht="12.75" customHeight="1">
      <c r="A180" s="7"/>
      <c r="B180" s="31" t="s">
        <v>206</v>
      </c>
      <c r="C180" s="7">
        <v>1</v>
      </c>
      <c r="D180" s="7">
        <v>10</v>
      </c>
      <c r="E180" s="7">
        <v>1551</v>
      </c>
      <c r="F180" s="7">
        <f>E180*C180</f>
        <v>1551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4">
        <f>E180*C180+SUM(G180:O180)</f>
        <v>1551</v>
      </c>
      <c r="R180" s="7"/>
      <c r="S180" s="4">
        <f>Q180*$R$17</f>
        <v>18612</v>
      </c>
    </row>
    <row r="181" spans="1:19" ht="12.75" customHeight="1">
      <c r="A181" s="7"/>
      <c r="B181" s="31" t="s">
        <v>481</v>
      </c>
      <c r="C181" s="7">
        <v>1</v>
      </c>
      <c r="D181" s="7">
        <v>6</v>
      </c>
      <c r="E181" s="7">
        <v>1263</v>
      </c>
      <c r="F181" s="7">
        <f>E181*C181</f>
        <v>1263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4">
        <f>E181*C181+SUM(G181:O181)</f>
        <v>1263</v>
      </c>
      <c r="R181" s="7"/>
      <c r="S181" s="4">
        <f>Q181*$R$17</f>
        <v>15156</v>
      </c>
    </row>
    <row r="182" spans="1:19" ht="12.75" customHeight="1">
      <c r="A182" s="7"/>
      <c r="B182" s="27" t="s">
        <v>229</v>
      </c>
      <c r="C182" s="8">
        <v>2</v>
      </c>
      <c r="D182" s="8">
        <v>7</v>
      </c>
      <c r="E182" s="8">
        <v>1312</v>
      </c>
      <c r="F182" s="7">
        <f>E182*C182</f>
        <v>2624</v>
      </c>
      <c r="G182" s="8"/>
      <c r="H182" s="8"/>
      <c r="I182" s="8"/>
      <c r="J182" s="8"/>
      <c r="K182" s="8"/>
      <c r="L182" s="8"/>
      <c r="M182" s="8"/>
      <c r="N182" s="8"/>
      <c r="O182" s="8"/>
      <c r="P182" s="7"/>
      <c r="Q182" s="4">
        <f>E182*C182+SUM(G182:O182)</f>
        <v>2624</v>
      </c>
      <c r="R182" s="7"/>
      <c r="S182" s="4">
        <f>Q182*$R$17</f>
        <v>31488</v>
      </c>
    </row>
    <row r="183" spans="1:19" ht="12.75" customHeight="1">
      <c r="A183" s="10"/>
      <c r="B183" s="26" t="s">
        <v>40</v>
      </c>
      <c r="C183" s="10">
        <f>SUM(C179:C182)</f>
        <v>5</v>
      </c>
      <c r="D183" s="10"/>
      <c r="E183" s="10"/>
      <c r="F183" s="10">
        <f>SUM(F179:F182)</f>
        <v>7116</v>
      </c>
      <c r="G183" s="11"/>
      <c r="H183" s="11"/>
      <c r="I183" s="11"/>
      <c r="J183" s="22"/>
      <c r="K183" s="22"/>
      <c r="L183" s="22"/>
      <c r="M183" s="22"/>
      <c r="N183" s="22"/>
      <c r="O183" s="22"/>
      <c r="P183" s="11"/>
      <c r="Q183" s="11">
        <f>SUM(Q179:Q182)</f>
        <v>7116</v>
      </c>
      <c r="R183" s="11">
        <f>SUM(R179:R182)</f>
        <v>0</v>
      </c>
      <c r="S183" s="11">
        <f>SUM(S179:S182)</f>
        <v>85392</v>
      </c>
    </row>
    <row r="184" spans="1:19" ht="24.75" customHeight="1">
      <c r="A184" s="3" t="s">
        <v>78</v>
      </c>
      <c r="B184" s="2" t="s">
        <v>247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customHeight="1">
      <c r="A185" s="7"/>
      <c r="B185" s="31" t="s">
        <v>502</v>
      </c>
      <c r="C185" s="7">
        <v>1</v>
      </c>
      <c r="D185" s="7">
        <v>11</v>
      </c>
      <c r="E185" s="7">
        <v>1678</v>
      </c>
      <c r="F185" s="7">
        <f>E185*C185</f>
        <v>1678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4">
        <f>E185*C185+SUM(G185:O185)</f>
        <v>1678</v>
      </c>
      <c r="R185" s="7"/>
      <c r="S185" s="4">
        <f>Q185*$R$17</f>
        <v>20136</v>
      </c>
    </row>
    <row r="186" spans="1:19" ht="12.75" customHeight="1">
      <c r="A186" s="7"/>
      <c r="B186" s="31" t="s">
        <v>56</v>
      </c>
      <c r="C186" s="7">
        <v>1</v>
      </c>
      <c r="D186" s="7">
        <v>8</v>
      </c>
      <c r="E186" s="7">
        <v>1397</v>
      </c>
      <c r="F186" s="7">
        <f>E186*C186</f>
        <v>1397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4">
        <f>E186*C186+SUM(G186:O186)</f>
        <v>1397</v>
      </c>
      <c r="R186" s="7"/>
      <c r="S186" s="4">
        <f>Q186*$R$17</f>
        <v>16764</v>
      </c>
    </row>
    <row r="187" spans="1:19" ht="12.75" customHeight="1">
      <c r="A187" s="7"/>
      <c r="B187" s="31" t="s">
        <v>481</v>
      </c>
      <c r="C187" s="7">
        <v>3</v>
      </c>
      <c r="D187" s="7">
        <v>6</v>
      </c>
      <c r="E187" s="7">
        <v>1263</v>
      </c>
      <c r="F187" s="7">
        <f>E187*C187</f>
        <v>3789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4">
        <f>E187*C187+SUM(G187:O187)</f>
        <v>3789</v>
      </c>
      <c r="R187" s="7"/>
      <c r="S187" s="4">
        <f>Q187*$R$17</f>
        <v>45468</v>
      </c>
    </row>
    <row r="188" spans="1:19" ht="12.75" customHeight="1">
      <c r="A188" s="7"/>
      <c r="B188" s="31" t="s">
        <v>52</v>
      </c>
      <c r="C188" s="8">
        <v>1</v>
      </c>
      <c r="D188" s="8">
        <v>4</v>
      </c>
      <c r="E188" s="8">
        <v>1243</v>
      </c>
      <c r="F188" s="7">
        <f>E188*C188</f>
        <v>1243</v>
      </c>
      <c r="G188" s="8"/>
      <c r="H188" s="8"/>
      <c r="I188" s="8"/>
      <c r="J188" s="8"/>
      <c r="K188" s="8"/>
      <c r="L188" s="8"/>
      <c r="M188" s="8"/>
      <c r="N188" s="8"/>
      <c r="O188" s="8"/>
      <c r="P188" s="7"/>
      <c r="Q188" s="4">
        <f>E188*C188+SUM(G188:O188)</f>
        <v>1243</v>
      </c>
      <c r="R188" s="7"/>
      <c r="S188" s="4">
        <f>Q188*$R$17</f>
        <v>14916</v>
      </c>
    </row>
    <row r="189" spans="1:19" ht="12.75" customHeight="1">
      <c r="A189" s="10"/>
      <c r="B189" s="26" t="s">
        <v>40</v>
      </c>
      <c r="C189" s="10">
        <f>SUM(C185:C188)</f>
        <v>6</v>
      </c>
      <c r="D189" s="10"/>
      <c r="E189" s="10"/>
      <c r="F189" s="10">
        <f>SUM(F185:F188)</f>
        <v>8107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>
        <f>SUM(Q185:Q188)</f>
        <v>8107</v>
      </c>
      <c r="R189" s="10">
        <f>SUM(R185:R187)</f>
        <v>0</v>
      </c>
      <c r="S189" s="11">
        <f>SUM(S185:S188)</f>
        <v>97284</v>
      </c>
    </row>
    <row r="190" spans="1:19" ht="12.75" customHeight="1">
      <c r="A190" s="3" t="s">
        <v>79</v>
      </c>
      <c r="B190" s="2" t="s">
        <v>53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customHeight="1">
      <c r="A191" s="7"/>
      <c r="B191" s="31" t="s">
        <v>162</v>
      </c>
      <c r="C191" s="7">
        <v>1</v>
      </c>
      <c r="D191" s="7">
        <v>6</v>
      </c>
      <c r="E191" s="7">
        <v>1263</v>
      </c>
      <c r="F191" s="7">
        <f>E191*C191</f>
        <v>1263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4">
        <f>E191*C191+SUM(G191:O191)</f>
        <v>1263</v>
      </c>
      <c r="R191" s="7"/>
      <c r="S191" s="4">
        <f>Q191*$R$17</f>
        <v>15156</v>
      </c>
    </row>
    <row r="192" spans="1:19" ht="12.75" customHeight="1">
      <c r="A192" s="8"/>
      <c r="B192" s="27" t="s">
        <v>80</v>
      </c>
      <c r="C192" s="8">
        <v>2</v>
      </c>
      <c r="D192" s="8">
        <v>4</v>
      </c>
      <c r="E192" s="8">
        <v>1243</v>
      </c>
      <c r="F192" s="7">
        <f>E192*C192</f>
        <v>2486</v>
      </c>
      <c r="G192" s="8"/>
      <c r="H192" s="8"/>
      <c r="I192" s="8"/>
      <c r="J192" s="8"/>
      <c r="K192" s="8"/>
      <c r="L192" s="8"/>
      <c r="M192" s="8"/>
      <c r="N192" s="8"/>
      <c r="O192" s="8"/>
      <c r="P192" s="7"/>
      <c r="Q192" s="4">
        <f>E192*C192+SUM(G192:O192)</f>
        <v>2486</v>
      </c>
      <c r="R192" s="7"/>
      <c r="S192" s="4">
        <f>Q192*$R$17</f>
        <v>29832</v>
      </c>
    </row>
    <row r="193" spans="1:19" ht="12.75" customHeight="1">
      <c r="A193" s="10"/>
      <c r="B193" s="26" t="s">
        <v>40</v>
      </c>
      <c r="C193" s="10">
        <f>SUM(C191:C192)</f>
        <v>3</v>
      </c>
      <c r="D193" s="10"/>
      <c r="E193" s="10"/>
      <c r="F193" s="10">
        <f>SUM(F191:F192)</f>
        <v>3749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>
        <f>SUM(Q191:Q192)</f>
        <v>3749</v>
      </c>
      <c r="R193" s="10">
        <f>SUM(R191:R192)</f>
        <v>0</v>
      </c>
      <c r="S193" s="10">
        <f>SUM(S191:S192)</f>
        <v>44988</v>
      </c>
    </row>
    <row r="194" spans="1:19" ht="12.75" customHeight="1">
      <c r="A194" s="3" t="s">
        <v>81</v>
      </c>
      <c r="B194" s="2" t="s">
        <v>83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customHeight="1">
      <c r="A195" s="7"/>
      <c r="B195" s="31" t="s">
        <v>162</v>
      </c>
      <c r="C195" s="7">
        <v>4</v>
      </c>
      <c r="D195" s="7">
        <v>6</v>
      </c>
      <c r="E195" s="7">
        <v>1263</v>
      </c>
      <c r="F195" s="7">
        <f>E195*C195</f>
        <v>5052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4">
        <f>E195*C195+SUM(G195:O195)</f>
        <v>5052</v>
      </c>
      <c r="R195" s="7"/>
      <c r="S195" s="4">
        <f>Q195*$R$17</f>
        <v>60624</v>
      </c>
    </row>
    <row r="196" spans="1:19" ht="12.75" customHeight="1">
      <c r="A196" s="7"/>
      <c r="B196" s="31" t="s">
        <v>486</v>
      </c>
      <c r="C196" s="7">
        <v>1</v>
      </c>
      <c r="D196" s="7">
        <v>5</v>
      </c>
      <c r="E196" s="7">
        <v>1253</v>
      </c>
      <c r="F196" s="7">
        <f>E196*C196</f>
        <v>1253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4">
        <f>E196*C196+SUM(G196:O196)</f>
        <v>1253</v>
      </c>
      <c r="R196" s="7"/>
      <c r="S196" s="4">
        <f>Q196*$R$17</f>
        <v>15036</v>
      </c>
    </row>
    <row r="197" spans="1:19" ht="12.75" customHeight="1">
      <c r="A197" s="8"/>
      <c r="B197" s="27" t="s">
        <v>39</v>
      </c>
      <c r="C197" s="8">
        <v>0.5</v>
      </c>
      <c r="D197" s="8">
        <v>4</v>
      </c>
      <c r="E197" s="8">
        <v>1243</v>
      </c>
      <c r="F197" s="7">
        <f>E197*C197</f>
        <v>621.5</v>
      </c>
      <c r="G197" s="8"/>
      <c r="H197" s="8"/>
      <c r="I197" s="8"/>
      <c r="J197" s="8"/>
      <c r="K197" s="8"/>
      <c r="L197" s="8"/>
      <c r="M197" s="8"/>
      <c r="N197" s="8"/>
      <c r="O197" s="8"/>
      <c r="P197" s="7"/>
      <c r="Q197" s="4">
        <f>E197*C197+SUM(G197:O197)</f>
        <v>621.5</v>
      </c>
      <c r="R197" s="7"/>
      <c r="S197" s="4">
        <f>Q197*$R$17</f>
        <v>7458</v>
      </c>
    </row>
    <row r="198" spans="1:19" ht="12.75" customHeight="1">
      <c r="A198" s="10"/>
      <c r="B198" s="26" t="s">
        <v>40</v>
      </c>
      <c r="C198" s="10">
        <f>SUM(C195:C197)</f>
        <v>5.5</v>
      </c>
      <c r="D198" s="10"/>
      <c r="E198" s="10"/>
      <c r="F198" s="10">
        <f>SUM(F195:F197)</f>
        <v>6926.5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>
        <f>SUM(Q195:Q197)</f>
        <v>6926.5</v>
      </c>
      <c r="R198" s="10">
        <f>SUM(R195:R197)</f>
        <v>0</v>
      </c>
      <c r="S198" s="10">
        <f>SUM(S195:S197)</f>
        <v>83118</v>
      </c>
    </row>
    <row r="199" spans="1:19" ht="24.75" customHeight="1">
      <c r="A199" s="3" t="s">
        <v>82</v>
      </c>
      <c r="B199" s="49" t="s">
        <v>341</v>
      </c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>
      <c r="A200" s="7"/>
      <c r="B200" s="31" t="s">
        <v>502</v>
      </c>
      <c r="C200" s="7">
        <v>1</v>
      </c>
      <c r="D200" s="7">
        <v>11</v>
      </c>
      <c r="E200" s="7">
        <v>1678</v>
      </c>
      <c r="F200" s="7">
        <f>E200*C200</f>
        <v>1678</v>
      </c>
      <c r="G200" s="7"/>
      <c r="H200" s="7"/>
      <c r="I200" s="4"/>
      <c r="J200" s="7"/>
      <c r="K200" s="7"/>
      <c r="L200" s="7"/>
      <c r="M200" s="7"/>
      <c r="N200" s="7"/>
      <c r="O200" s="7"/>
      <c r="P200" s="4"/>
      <c r="Q200" s="4">
        <f>E200*C200+SUM(G200:O200)</f>
        <v>1678</v>
      </c>
      <c r="R200" s="7"/>
      <c r="S200" s="4">
        <f>Q200*$R$17</f>
        <v>20136</v>
      </c>
    </row>
    <row r="201" spans="1:19" ht="12.75" customHeight="1">
      <c r="A201" s="7"/>
      <c r="B201" s="31" t="s">
        <v>61</v>
      </c>
      <c r="C201" s="7">
        <v>2</v>
      </c>
      <c r="D201" s="7">
        <v>7</v>
      </c>
      <c r="E201" s="7">
        <v>1312</v>
      </c>
      <c r="F201" s="7">
        <f>E201*C201</f>
        <v>2624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4">
        <f>E201*C201+SUM(G201:O201)</f>
        <v>2624</v>
      </c>
      <c r="R201" s="7"/>
      <c r="S201" s="4">
        <f>Q201*$R$17</f>
        <v>31488</v>
      </c>
    </row>
    <row r="202" spans="1:19" ht="12.75" customHeight="1">
      <c r="A202" s="8"/>
      <c r="B202" s="27" t="s">
        <v>256</v>
      </c>
      <c r="C202" s="8">
        <v>1</v>
      </c>
      <c r="D202" s="8">
        <v>5</v>
      </c>
      <c r="E202" s="8">
        <v>1253</v>
      </c>
      <c r="F202" s="8">
        <f>E202*C202</f>
        <v>1253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9">
        <f>E202*C202+SUM(G202:O202)</f>
        <v>1253</v>
      </c>
      <c r="R202" s="8"/>
      <c r="S202" s="9">
        <f>Q202*$R$17</f>
        <v>15036</v>
      </c>
    </row>
    <row r="203" spans="1:19" ht="12.75" customHeight="1">
      <c r="A203" s="10"/>
      <c r="B203" s="26" t="s">
        <v>40</v>
      </c>
      <c r="C203" s="10">
        <f>SUM(C200:C202)</f>
        <v>4</v>
      </c>
      <c r="D203" s="10"/>
      <c r="E203" s="10"/>
      <c r="F203" s="10">
        <f>SUM(F200:F202)</f>
        <v>5555</v>
      </c>
      <c r="G203" s="10"/>
      <c r="H203" s="10"/>
      <c r="I203" s="11"/>
      <c r="J203" s="11"/>
      <c r="K203" s="11"/>
      <c r="L203" s="11"/>
      <c r="M203" s="11"/>
      <c r="N203" s="11"/>
      <c r="O203" s="11"/>
      <c r="P203" s="11"/>
      <c r="Q203" s="11">
        <f>SUM(Q200:Q202)</f>
        <v>5555</v>
      </c>
      <c r="R203" s="11">
        <f>SUM(R200:R202)</f>
        <v>0</v>
      </c>
      <c r="S203" s="11">
        <f>SUM(S200:S202)</f>
        <v>66660</v>
      </c>
    </row>
    <row r="204" spans="1:19" ht="12.75" customHeight="1">
      <c r="A204" s="3" t="s">
        <v>84</v>
      </c>
      <c r="B204" s="2" t="s">
        <v>86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customHeight="1">
      <c r="A205" s="7"/>
      <c r="B205" s="31" t="s">
        <v>502</v>
      </c>
      <c r="C205" s="7">
        <v>1</v>
      </c>
      <c r="D205" s="7">
        <v>11</v>
      </c>
      <c r="E205" s="7">
        <v>1678</v>
      </c>
      <c r="F205" s="7">
        <f>E205*C205</f>
        <v>1678</v>
      </c>
      <c r="G205" s="7"/>
      <c r="H205" s="7"/>
      <c r="I205" s="4"/>
      <c r="J205" s="7"/>
      <c r="K205" s="7"/>
      <c r="L205" s="7"/>
      <c r="M205" s="7"/>
      <c r="N205" s="7"/>
      <c r="O205" s="7"/>
      <c r="P205" s="4"/>
      <c r="Q205" s="4">
        <f>E205*C205+SUM(G205:O205)</f>
        <v>1678</v>
      </c>
      <c r="R205" s="7"/>
      <c r="S205" s="4">
        <f>Q205*$R$17</f>
        <v>20136</v>
      </c>
    </row>
    <row r="206" spans="1:19" ht="12.75" customHeight="1">
      <c r="A206" s="7"/>
      <c r="B206" s="31" t="s">
        <v>51</v>
      </c>
      <c r="C206" s="7">
        <v>1</v>
      </c>
      <c r="D206" s="7">
        <v>7</v>
      </c>
      <c r="E206" s="7">
        <v>1312</v>
      </c>
      <c r="F206" s="7">
        <f>E206*C206</f>
        <v>1312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">
        <f>E206*C206+SUM(G206:O206)</f>
        <v>1312</v>
      </c>
      <c r="R206" s="7"/>
      <c r="S206" s="4">
        <f>Q206*$R$17</f>
        <v>15744</v>
      </c>
    </row>
    <row r="207" spans="1:19" ht="12.75" customHeight="1">
      <c r="A207" s="7"/>
      <c r="B207" s="31" t="s">
        <v>481</v>
      </c>
      <c r="C207" s="7">
        <v>0.5</v>
      </c>
      <c r="D207" s="7">
        <v>6</v>
      </c>
      <c r="E207" s="7">
        <v>1263</v>
      </c>
      <c r="F207" s="7">
        <f>E207*C207</f>
        <v>631.5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4">
        <f>E207*C207+SUM(G207:O207)</f>
        <v>631.5</v>
      </c>
      <c r="R207" s="7"/>
      <c r="S207" s="4">
        <f>Q207*$R$17</f>
        <v>7578</v>
      </c>
    </row>
    <row r="208" spans="1:19" ht="12.75" customHeight="1">
      <c r="A208" s="8"/>
      <c r="B208" s="27" t="s">
        <v>52</v>
      </c>
      <c r="C208" s="8">
        <v>0.5</v>
      </c>
      <c r="D208" s="8">
        <v>4</v>
      </c>
      <c r="E208" s="8">
        <v>1243</v>
      </c>
      <c r="F208" s="44">
        <f>E208*C208</f>
        <v>621.5</v>
      </c>
      <c r="G208" s="8"/>
      <c r="H208" s="8"/>
      <c r="I208" s="8"/>
      <c r="J208" s="8"/>
      <c r="K208" s="8"/>
      <c r="L208" s="8"/>
      <c r="M208" s="8"/>
      <c r="N208" s="8"/>
      <c r="O208" s="8"/>
      <c r="P208" s="7"/>
      <c r="Q208" s="4">
        <f>E208*C208+SUM(G208:O208)</f>
        <v>621.5</v>
      </c>
      <c r="R208" s="7"/>
      <c r="S208" s="4">
        <f>Q208*$R$17</f>
        <v>7458</v>
      </c>
    </row>
    <row r="209" spans="1:19" ht="12.75" customHeight="1">
      <c r="A209" s="10"/>
      <c r="B209" s="26" t="s">
        <v>40</v>
      </c>
      <c r="C209" s="10">
        <f>SUM(C205:C208)</f>
        <v>3</v>
      </c>
      <c r="D209" s="10"/>
      <c r="E209" s="10"/>
      <c r="F209" s="10">
        <f>SUM(F205:F208)</f>
        <v>4243</v>
      </c>
      <c r="G209" s="10"/>
      <c r="H209" s="10"/>
      <c r="I209" s="11"/>
      <c r="J209" s="11"/>
      <c r="K209" s="11"/>
      <c r="L209" s="11"/>
      <c r="M209" s="11"/>
      <c r="N209" s="11"/>
      <c r="O209" s="11"/>
      <c r="P209" s="11"/>
      <c r="Q209" s="11">
        <f>SUM(Q205:Q208)</f>
        <v>4243</v>
      </c>
      <c r="R209" s="11">
        <f>SUM(R205:R208)</f>
        <v>0</v>
      </c>
      <c r="S209" s="11">
        <f>SUM(S205:S208)</f>
        <v>50916</v>
      </c>
    </row>
    <row r="210" spans="1:19" ht="12.75" customHeight="1">
      <c r="A210" s="3" t="s">
        <v>85</v>
      </c>
      <c r="B210" s="2" t="s">
        <v>387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4"/>
    </row>
    <row r="211" spans="1:19" ht="12.75" customHeight="1">
      <c r="A211" s="7"/>
      <c r="B211" s="31" t="s">
        <v>502</v>
      </c>
      <c r="C211" s="7">
        <v>1</v>
      </c>
      <c r="D211" s="7">
        <v>11</v>
      </c>
      <c r="E211" s="7">
        <v>1678</v>
      </c>
      <c r="F211" s="7">
        <f>E211*C211</f>
        <v>1678</v>
      </c>
      <c r="G211" s="7"/>
      <c r="H211" s="7"/>
      <c r="I211" s="4"/>
      <c r="J211" s="7"/>
      <c r="K211" s="7"/>
      <c r="L211" s="7"/>
      <c r="M211" s="7"/>
      <c r="N211" s="7"/>
      <c r="O211" s="7"/>
      <c r="P211" s="4"/>
      <c r="Q211" s="4">
        <f>E211*C211+SUM(G211:O211)</f>
        <v>1678</v>
      </c>
      <c r="R211" s="7"/>
      <c r="S211" s="4">
        <f>Q211*$R$17</f>
        <v>20136</v>
      </c>
    </row>
    <row r="212" spans="1:19" ht="12.75" customHeight="1">
      <c r="A212" s="7"/>
      <c r="B212" s="31" t="s">
        <v>192</v>
      </c>
      <c r="C212" s="7">
        <v>1</v>
      </c>
      <c r="D212" s="7">
        <v>6</v>
      </c>
      <c r="E212" s="7">
        <v>1263</v>
      </c>
      <c r="F212" s="7">
        <f>E212*C212</f>
        <v>1263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4">
        <f>E212*C212+SUM(G212:O212)</f>
        <v>1263</v>
      </c>
      <c r="R212" s="7"/>
      <c r="S212" s="4">
        <f>Q212*$R$17</f>
        <v>15156</v>
      </c>
    </row>
    <row r="213" spans="1:19" ht="12.75" customHeight="1">
      <c r="A213" s="8"/>
      <c r="B213" s="27" t="s">
        <v>39</v>
      </c>
      <c r="C213" s="8">
        <v>1</v>
      </c>
      <c r="D213" s="8">
        <v>4</v>
      </c>
      <c r="E213" s="8">
        <v>1243</v>
      </c>
      <c r="F213" s="7">
        <f>E213*C213</f>
        <v>1243</v>
      </c>
      <c r="G213" s="8"/>
      <c r="H213" s="8"/>
      <c r="I213" s="8"/>
      <c r="J213" s="8"/>
      <c r="K213" s="8"/>
      <c r="L213" s="8"/>
      <c r="M213" s="8"/>
      <c r="N213" s="8"/>
      <c r="O213" s="8"/>
      <c r="P213" s="7"/>
      <c r="Q213" s="4">
        <f>E213*C213+SUM(G213:O213)</f>
        <v>1243</v>
      </c>
      <c r="R213" s="7"/>
      <c r="S213" s="4">
        <f>Q213*$R$17</f>
        <v>14916</v>
      </c>
    </row>
    <row r="214" spans="1:19" ht="12.75" customHeight="1">
      <c r="A214" s="10"/>
      <c r="B214" s="26" t="s">
        <v>40</v>
      </c>
      <c r="C214" s="10">
        <f>SUM(C211:C213)</f>
        <v>3</v>
      </c>
      <c r="D214" s="10"/>
      <c r="E214" s="10"/>
      <c r="F214" s="10">
        <f>SUM(F211:F213)</f>
        <v>4184</v>
      </c>
      <c r="G214" s="10"/>
      <c r="H214" s="10"/>
      <c r="I214" s="11"/>
      <c r="J214" s="10"/>
      <c r="K214" s="10"/>
      <c r="L214" s="10"/>
      <c r="M214" s="10"/>
      <c r="N214" s="10"/>
      <c r="O214" s="10"/>
      <c r="P214" s="11"/>
      <c r="Q214" s="11">
        <f>SUM(Q211:Q213)</f>
        <v>4184</v>
      </c>
      <c r="R214" s="11">
        <f>SUM(R211:R213)</f>
        <v>0</v>
      </c>
      <c r="S214" s="11">
        <f>SUM(S211:S213)</f>
        <v>50208</v>
      </c>
    </row>
    <row r="215" spans="1:19" ht="12.75" customHeight="1">
      <c r="A215" s="3" t="s">
        <v>87</v>
      </c>
      <c r="B215" s="2" t="s">
        <v>89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2.75" customHeight="1">
      <c r="A216" s="7"/>
      <c r="B216" s="31" t="s">
        <v>502</v>
      </c>
      <c r="C216" s="7">
        <v>1</v>
      </c>
      <c r="D216" s="7">
        <v>11</v>
      </c>
      <c r="E216" s="7">
        <v>1678</v>
      </c>
      <c r="F216" s="7">
        <f>E216*C216</f>
        <v>1678</v>
      </c>
      <c r="G216" s="7"/>
      <c r="H216" s="7"/>
      <c r="I216" s="4"/>
      <c r="J216" s="7"/>
      <c r="K216" s="7"/>
      <c r="L216" s="7"/>
      <c r="M216" s="7"/>
      <c r="N216" s="7"/>
      <c r="O216" s="4">
        <f>E216*C216*0.12</f>
        <v>201.35999999999999</v>
      </c>
      <c r="P216" s="4">
        <f>SUM(G216:O216)</f>
        <v>201.35999999999999</v>
      </c>
      <c r="Q216" s="4">
        <f>E216*C216+SUM(G216:O216)</f>
        <v>1879.36</v>
      </c>
      <c r="R216" s="4"/>
      <c r="S216" s="4">
        <f>Q216*$R$17</f>
        <v>22552.32</v>
      </c>
    </row>
    <row r="217" spans="1:19" ht="12.75" customHeight="1">
      <c r="A217" s="7"/>
      <c r="B217" s="31" t="s">
        <v>41</v>
      </c>
      <c r="C217" s="7">
        <v>5</v>
      </c>
      <c r="D217" s="7">
        <v>6</v>
      </c>
      <c r="E217" s="7">
        <v>1263</v>
      </c>
      <c r="F217" s="7">
        <f>E217*C217</f>
        <v>6315</v>
      </c>
      <c r="G217" s="7"/>
      <c r="H217" s="7"/>
      <c r="I217" s="7"/>
      <c r="J217" s="7"/>
      <c r="K217" s="7"/>
      <c r="L217" s="7"/>
      <c r="M217" s="7"/>
      <c r="N217" s="7"/>
      <c r="O217" s="4">
        <f>E217*C217*0.12</f>
        <v>757.8</v>
      </c>
      <c r="P217" s="4">
        <f>SUM(G217:O217)</f>
        <v>757.8</v>
      </c>
      <c r="Q217" s="4">
        <f>E217*C217+SUM(G217:O217)</f>
        <v>7072.8</v>
      </c>
      <c r="R217" s="4"/>
      <c r="S217" s="4">
        <f>Q217*$R$17</f>
        <v>84873.6</v>
      </c>
    </row>
    <row r="218" spans="1:19" ht="12.75" customHeight="1">
      <c r="A218" s="10"/>
      <c r="B218" s="26" t="s">
        <v>40</v>
      </c>
      <c r="C218" s="10">
        <f>SUM(C216:C217)</f>
        <v>6</v>
      </c>
      <c r="D218" s="10"/>
      <c r="E218" s="10"/>
      <c r="F218" s="10">
        <f>SUM(F216:F217)</f>
        <v>7993</v>
      </c>
      <c r="G218" s="11"/>
      <c r="H218" s="11"/>
      <c r="I218" s="11"/>
      <c r="J218" s="10"/>
      <c r="K218" s="10"/>
      <c r="L218" s="10"/>
      <c r="M218" s="10"/>
      <c r="N218" s="10"/>
      <c r="O218" s="11">
        <f>SUM(O216:O217)</f>
        <v>959.16</v>
      </c>
      <c r="P218" s="11">
        <f>SUM(P216:P217)</f>
        <v>959.16</v>
      </c>
      <c r="Q218" s="11">
        <f>SUM(Q216:Q217)</f>
        <v>8952.16</v>
      </c>
      <c r="R218" s="11">
        <f>SUM(R216:R217)</f>
        <v>0</v>
      </c>
      <c r="S218" s="11">
        <f>SUM(S216:S217)</f>
        <v>107425.92000000001</v>
      </c>
    </row>
    <row r="219" spans="1:19" ht="24.75" customHeight="1">
      <c r="A219" s="3" t="s">
        <v>88</v>
      </c>
      <c r="B219" s="2" t="s">
        <v>228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" customHeight="1">
      <c r="A220" s="8"/>
      <c r="B220" s="27" t="s">
        <v>162</v>
      </c>
      <c r="C220" s="8">
        <v>2</v>
      </c>
      <c r="D220" s="8">
        <v>6</v>
      </c>
      <c r="E220" s="8">
        <v>1263</v>
      </c>
      <c r="F220" s="7">
        <f>E220*C220</f>
        <v>2526</v>
      </c>
      <c r="G220" s="8"/>
      <c r="H220" s="8"/>
      <c r="I220" s="8"/>
      <c r="J220" s="8"/>
      <c r="K220" s="8"/>
      <c r="L220" s="8"/>
      <c r="M220" s="8"/>
      <c r="N220" s="8"/>
      <c r="O220" s="8"/>
      <c r="P220" s="7"/>
      <c r="Q220" s="4">
        <f>E220*C220+SUM(G220:O220)</f>
        <v>2526</v>
      </c>
      <c r="R220" s="7"/>
      <c r="S220" s="4">
        <f>Q220*$R$17</f>
        <v>30312</v>
      </c>
    </row>
    <row r="221" spans="1:19" ht="12" customHeight="1">
      <c r="A221" s="10"/>
      <c r="B221" s="26" t="s">
        <v>40</v>
      </c>
      <c r="C221" s="10">
        <f>SUM(C220)</f>
        <v>2</v>
      </c>
      <c r="D221" s="10"/>
      <c r="E221" s="10"/>
      <c r="F221" s="10">
        <f>SUM(F220)</f>
        <v>2526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>
        <f>SUM(Q220)</f>
        <v>2526</v>
      </c>
      <c r="R221" s="10">
        <f>SUM(R220)</f>
        <v>0</v>
      </c>
      <c r="S221" s="10">
        <f>SUM(S220)</f>
        <v>30312</v>
      </c>
    </row>
    <row r="222" spans="1:19" ht="23.25" customHeight="1">
      <c r="A222" s="3" t="s">
        <v>90</v>
      </c>
      <c r="B222" s="2" t="s">
        <v>156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" customHeight="1">
      <c r="A223" s="7"/>
      <c r="B223" s="31" t="s">
        <v>502</v>
      </c>
      <c r="C223" s="7">
        <v>1</v>
      </c>
      <c r="D223" s="7">
        <v>11</v>
      </c>
      <c r="E223" s="7">
        <v>1678</v>
      </c>
      <c r="F223" s="7">
        <f>E223*C223</f>
        <v>1678</v>
      </c>
      <c r="G223" s="7"/>
      <c r="H223" s="7"/>
      <c r="I223" s="4"/>
      <c r="J223" s="7"/>
      <c r="K223" s="7"/>
      <c r="L223" s="7"/>
      <c r="M223" s="7"/>
      <c r="N223" s="7"/>
      <c r="O223" s="7"/>
      <c r="P223" s="4"/>
      <c r="Q223" s="4">
        <f>E223*C223+SUM(G223:O223)</f>
        <v>1678</v>
      </c>
      <c r="R223" s="7"/>
      <c r="S223" s="4">
        <f>Q223*$R$17</f>
        <v>20136</v>
      </c>
    </row>
    <row r="224" spans="1:19" ht="12" customHeight="1">
      <c r="A224" s="7"/>
      <c r="B224" s="31" t="s">
        <v>61</v>
      </c>
      <c r="C224" s="7">
        <v>1</v>
      </c>
      <c r="D224" s="7">
        <v>7</v>
      </c>
      <c r="E224" s="7">
        <v>1312</v>
      </c>
      <c r="F224" s="7">
        <f>E224*C224</f>
        <v>1312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4">
        <f>E224*C224+SUM(G224:O224)</f>
        <v>1312</v>
      </c>
      <c r="R224" s="7"/>
      <c r="S224" s="4">
        <f>Q224*$R$17</f>
        <v>15744</v>
      </c>
    </row>
    <row r="225" spans="1:19" ht="12" customHeight="1">
      <c r="A225" s="8"/>
      <c r="B225" s="27" t="s">
        <v>39</v>
      </c>
      <c r="C225" s="7">
        <v>1</v>
      </c>
      <c r="D225" s="7">
        <v>4</v>
      </c>
      <c r="E225" s="8">
        <v>1243</v>
      </c>
      <c r="F225" s="7">
        <f>E225*C225</f>
        <v>1243</v>
      </c>
      <c r="G225" s="8"/>
      <c r="H225" s="8"/>
      <c r="I225" s="8"/>
      <c r="J225" s="8"/>
      <c r="K225" s="8"/>
      <c r="L225" s="8"/>
      <c r="M225" s="8"/>
      <c r="N225" s="8"/>
      <c r="O225" s="8"/>
      <c r="P225" s="7"/>
      <c r="Q225" s="4">
        <f>E225*C225+SUM(G225:O225)</f>
        <v>1243</v>
      </c>
      <c r="R225" s="7"/>
      <c r="S225" s="4">
        <f>Q225*$R$17</f>
        <v>14916</v>
      </c>
    </row>
    <row r="226" spans="1:19" ht="12" customHeight="1">
      <c r="A226" s="10"/>
      <c r="B226" s="26" t="s">
        <v>40</v>
      </c>
      <c r="C226" s="10">
        <f>SUM(C223:C225)</f>
        <v>3</v>
      </c>
      <c r="D226" s="10"/>
      <c r="E226" s="10"/>
      <c r="F226" s="10">
        <f>SUM(F223:F225)</f>
        <v>4233</v>
      </c>
      <c r="G226" s="10"/>
      <c r="H226" s="10"/>
      <c r="I226" s="11"/>
      <c r="J226" s="11"/>
      <c r="K226" s="11"/>
      <c r="L226" s="11"/>
      <c r="M226" s="11"/>
      <c r="N226" s="11"/>
      <c r="O226" s="11"/>
      <c r="P226" s="11"/>
      <c r="Q226" s="11">
        <f>SUM(Q223:Q225)</f>
        <v>4233</v>
      </c>
      <c r="R226" s="11">
        <f>SUM(R223:R225)</f>
        <v>0</v>
      </c>
      <c r="S226" s="11">
        <f>SUM(S223:S225)</f>
        <v>50796</v>
      </c>
    </row>
    <row r="227" spans="1:19" ht="36.75" customHeight="1">
      <c r="A227" s="3" t="s">
        <v>92</v>
      </c>
      <c r="B227" s="2" t="s">
        <v>495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" customHeight="1">
      <c r="A228" s="7"/>
      <c r="B228" s="31" t="s">
        <v>502</v>
      </c>
      <c r="C228" s="7">
        <v>1</v>
      </c>
      <c r="D228" s="7">
        <v>11</v>
      </c>
      <c r="E228" s="7">
        <v>1678</v>
      </c>
      <c r="F228" s="7">
        <f>E228*C228</f>
        <v>1678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4">
        <f>E228*C228+SUM(G228:O228)</f>
        <v>1678</v>
      </c>
      <c r="R228" s="7"/>
      <c r="S228" s="4">
        <f>Q228*$R$17</f>
        <v>20136</v>
      </c>
    </row>
    <row r="229" spans="1:19" ht="12" customHeight="1">
      <c r="A229" s="7"/>
      <c r="B229" s="31" t="s">
        <v>192</v>
      </c>
      <c r="C229" s="7">
        <v>1</v>
      </c>
      <c r="D229" s="7">
        <v>6</v>
      </c>
      <c r="E229" s="7">
        <v>1263</v>
      </c>
      <c r="F229" s="7">
        <f>E229*C229</f>
        <v>1263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4">
        <f>E229*C229+SUM(G229:O229)</f>
        <v>1263</v>
      </c>
      <c r="R229" s="7"/>
      <c r="S229" s="4">
        <f>Q229*$R$17</f>
        <v>15156</v>
      </c>
    </row>
    <row r="230" spans="1:19" ht="12" customHeight="1">
      <c r="A230" s="7"/>
      <c r="B230" s="27" t="s">
        <v>39</v>
      </c>
      <c r="C230" s="8">
        <v>1</v>
      </c>
      <c r="D230" s="8">
        <v>4</v>
      </c>
      <c r="E230" s="8">
        <v>1243</v>
      </c>
      <c r="F230" s="8">
        <f>E230*C230</f>
        <v>1243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9">
        <f>E230*C230+SUM(G230:O230)</f>
        <v>1243</v>
      </c>
      <c r="R230" s="8"/>
      <c r="S230" s="9">
        <f>Q230*$R$17</f>
        <v>14916</v>
      </c>
    </row>
    <row r="231" spans="1:19" ht="12" customHeight="1">
      <c r="A231" s="10"/>
      <c r="B231" s="26" t="s">
        <v>40</v>
      </c>
      <c r="C231" s="10">
        <f>SUM(C228:C230)</f>
        <v>3</v>
      </c>
      <c r="D231" s="10"/>
      <c r="E231" s="10"/>
      <c r="F231" s="10">
        <f>SUM(F228:F230)</f>
        <v>4184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>
        <f>SUM(Q228:Q230)</f>
        <v>4184</v>
      </c>
      <c r="R231" s="10">
        <f>SUM(R228:R230)</f>
        <v>0</v>
      </c>
      <c r="S231" s="10">
        <f>SUM(S228:S230)</f>
        <v>50208</v>
      </c>
    </row>
    <row r="232" spans="1:19" ht="22.5" customHeight="1">
      <c r="A232" s="3" t="s">
        <v>93</v>
      </c>
      <c r="B232" s="2" t="s">
        <v>343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customHeight="1">
      <c r="A233" s="7"/>
      <c r="B233" s="31" t="s">
        <v>162</v>
      </c>
      <c r="C233" s="7">
        <v>1</v>
      </c>
      <c r="D233" s="7">
        <v>6</v>
      </c>
      <c r="E233" s="7">
        <v>1263</v>
      </c>
      <c r="F233" s="7">
        <f>E233*C233</f>
        <v>1263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4">
        <f>E233*C233+SUM(G233:O233)</f>
        <v>1263</v>
      </c>
      <c r="R233" s="7"/>
      <c r="S233" s="4">
        <f>Q233*$R$17</f>
        <v>15156</v>
      </c>
    </row>
    <row r="234" spans="1:19" ht="12.75" customHeight="1">
      <c r="A234" s="8"/>
      <c r="B234" s="27" t="s">
        <v>80</v>
      </c>
      <c r="C234" s="8">
        <v>1</v>
      </c>
      <c r="D234" s="8">
        <v>4</v>
      </c>
      <c r="E234" s="8">
        <v>1243</v>
      </c>
      <c r="F234" s="8">
        <f>E234*C234</f>
        <v>1243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9">
        <f>E234*C234+SUM(G234:O234)</f>
        <v>1243</v>
      </c>
      <c r="R234" s="8"/>
      <c r="S234" s="9">
        <f>Q234*$R$17</f>
        <v>14916</v>
      </c>
    </row>
    <row r="235" spans="1:19" ht="10.5" customHeight="1">
      <c r="A235" s="3"/>
      <c r="B235" s="26" t="s">
        <v>40</v>
      </c>
      <c r="C235" s="10">
        <f>SUM(C233:C234)</f>
        <v>2</v>
      </c>
      <c r="D235" s="10"/>
      <c r="E235" s="10"/>
      <c r="F235" s="10">
        <f>SUM(F233:F234)</f>
        <v>2506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1">
        <f>SUM(Q233:Q234)</f>
        <v>2506</v>
      </c>
      <c r="R235" s="11">
        <f>SUM(R233:R233)</f>
        <v>0</v>
      </c>
      <c r="S235" s="11">
        <f>SUM(S233:S234)</f>
        <v>30072</v>
      </c>
    </row>
    <row r="236" spans="1:19" ht="23.25" customHeight="1">
      <c r="A236" s="3" t="s">
        <v>94</v>
      </c>
      <c r="B236" s="2" t="s">
        <v>205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" customHeight="1">
      <c r="A237" s="8"/>
      <c r="B237" s="27" t="s">
        <v>44</v>
      </c>
      <c r="C237" s="7">
        <v>2</v>
      </c>
      <c r="D237" s="7">
        <v>7</v>
      </c>
      <c r="E237" s="7">
        <v>1312</v>
      </c>
      <c r="F237" s="7">
        <f>E237*C237</f>
        <v>2624</v>
      </c>
      <c r="G237" s="8"/>
      <c r="H237" s="8"/>
      <c r="I237" s="8"/>
      <c r="J237" s="8"/>
      <c r="K237" s="8"/>
      <c r="L237" s="8"/>
      <c r="M237" s="8"/>
      <c r="N237" s="8"/>
      <c r="O237" s="8"/>
      <c r="P237" s="7"/>
      <c r="Q237" s="4">
        <f>E237*C237+SUM(G237:O237)</f>
        <v>2624</v>
      </c>
      <c r="R237" s="7"/>
      <c r="S237" s="4">
        <f>Q237*$R$17</f>
        <v>31488</v>
      </c>
    </row>
    <row r="238" spans="1:19" ht="12" customHeight="1">
      <c r="A238" s="10"/>
      <c r="B238" s="26" t="s">
        <v>40</v>
      </c>
      <c r="C238" s="10">
        <f>SUM(C237:C237)</f>
        <v>2</v>
      </c>
      <c r="D238" s="10"/>
      <c r="E238" s="10"/>
      <c r="F238" s="10">
        <f>SUM(F237:F237)</f>
        <v>2624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>
        <f>SUM(Q237:Q237)</f>
        <v>2624</v>
      </c>
      <c r="R238" s="11">
        <f>SUM(R237:R237)</f>
        <v>0</v>
      </c>
      <c r="S238" s="11">
        <f>SUM(S237:S237)</f>
        <v>31488</v>
      </c>
    </row>
    <row r="239" spans="1:19" ht="12.75" customHeight="1">
      <c r="A239" s="3" t="s">
        <v>98</v>
      </c>
      <c r="B239" s="2" t="s">
        <v>42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>
      <c r="A240" s="7"/>
      <c r="B240" s="31" t="s">
        <v>162</v>
      </c>
      <c r="C240" s="7">
        <v>1</v>
      </c>
      <c r="D240" s="7">
        <v>6</v>
      </c>
      <c r="E240" s="7">
        <v>1263</v>
      </c>
      <c r="F240" s="7">
        <f>E240*C240</f>
        <v>1263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4">
        <f>E240*C240+SUM(G240:O240)</f>
        <v>1263</v>
      </c>
      <c r="R240" s="7"/>
      <c r="S240" s="4">
        <f>Q240*$R$17</f>
        <v>15156</v>
      </c>
    </row>
    <row r="241" spans="1:19" ht="12.75" customHeight="1">
      <c r="A241" s="7"/>
      <c r="B241" s="27" t="s">
        <v>486</v>
      </c>
      <c r="C241" s="8">
        <v>1</v>
      </c>
      <c r="D241" s="8">
        <v>5</v>
      </c>
      <c r="E241" s="8">
        <v>1253</v>
      </c>
      <c r="F241" s="7">
        <f>E241*C241</f>
        <v>1253</v>
      </c>
      <c r="G241" s="8"/>
      <c r="H241" s="8"/>
      <c r="I241" s="8"/>
      <c r="J241" s="8"/>
      <c r="K241" s="8"/>
      <c r="L241" s="8"/>
      <c r="M241" s="8"/>
      <c r="N241" s="8"/>
      <c r="O241" s="8"/>
      <c r="P241" s="7"/>
      <c r="Q241" s="4">
        <f>E241*C241+SUM(G241:O241)</f>
        <v>1253</v>
      </c>
      <c r="R241" s="7"/>
      <c r="S241" s="4">
        <f>Q241*$R$17</f>
        <v>15036</v>
      </c>
    </row>
    <row r="242" spans="1:19" ht="12.75" customHeight="1">
      <c r="A242" s="10"/>
      <c r="B242" s="26" t="s">
        <v>40</v>
      </c>
      <c r="C242" s="10">
        <f>SUM(C240:C241)</f>
        <v>2</v>
      </c>
      <c r="D242" s="10"/>
      <c r="E242" s="10"/>
      <c r="F242" s="10">
        <f>SUM(F240:F241)</f>
        <v>2516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>
        <f>SUM(Q240:Q241)</f>
        <v>2516</v>
      </c>
      <c r="R242" s="10"/>
      <c r="S242" s="10">
        <f>SUM(S240:S241)</f>
        <v>30192</v>
      </c>
    </row>
    <row r="243" spans="1:19" ht="24.75" customHeight="1">
      <c r="A243" s="3" t="s">
        <v>173</v>
      </c>
      <c r="B243" s="2" t="s">
        <v>542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 customHeight="1">
      <c r="A244" s="7"/>
      <c r="B244" s="31" t="s">
        <v>502</v>
      </c>
      <c r="C244" s="7">
        <v>1</v>
      </c>
      <c r="D244" s="7">
        <v>11</v>
      </c>
      <c r="E244" s="7">
        <v>1678</v>
      </c>
      <c r="F244" s="7">
        <f>E244*C244</f>
        <v>1678</v>
      </c>
      <c r="G244" s="7"/>
      <c r="H244" s="7"/>
      <c r="I244" s="4"/>
      <c r="J244" s="4"/>
      <c r="K244" s="4"/>
      <c r="L244" s="4"/>
      <c r="M244" s="4"/>
      <c r="N244" s="4"/>
      <c r="O244" s="4"/>
      <c r="P244" s="4"/>
      <c r="Q244" s="4">
        <f>E244*C244+SUM(G244:O244)</f>
        <v>1678</v>
      </c>
      <c r="R244" s="4"/>
      <c r="S244" s="4">
        <f>Q244*$R$17</f>
        <v>20136</v>
      </c>
    </row>
    <row r="245" spans="1:19" ht="12.75" customHeight="1">
      <c r="A245" s="7"/>
      <c r="B245" s="31" t="s">
        <v>46</v>
      </c>
      <c r="C245" s="7">
        <v>1</v>
      </c>
      <c r="D245" s="7">
        <v>9</v>
      </c>
      <c r="E245" s="7">
        <v>1474</v>
      </c>
      <c r="F245" s="7">
        <f>E245*C245</f>
        <v>1474</v>
      </c>
      <c r="G245" s="7"/>
      <c r="H245" s="7"/>
      <c r="I245" s="4"/>
      <c r="J245" s="4"/>
      <c r="K245" s="4"/>
      <c r="L245" s="4"/>
      <c r="M245" s="4"/>
      <c r="N245" s="4"/>
      <c r="O245" s="4"/>
      <c r="P245" s="4"/>
      <c r="Q245" s="4">
        <f>E245*C245+SUM(G245:O245)</f>
        <v>1474</v>
      </c>
      <c r="R245" s="4"/>
      <c r="S245" s="4">
        <f>Q245*$R$17</f>
        <v>17688</v>
      </c>
    </row>
    <row r="246" spans="1:19" ht="12.75" customHeight="1">
      <c r="A246" s="10"/>
      <c r="B246" s="26" t="s">
        <v>40</v>
      </c>
      <c r="C246" s="10">
        <f>SUM(C244:C245)</f>
        <v>2</v>
      </c>
      <c r="D246" s="10"/>
      <c r="E246" s="10"/>
      <c r="F246" s="10">
        <f>SUM(F244:F245)</f>
        <v>3152</v>
      </c>
      <c r="G246" s="10"/>
      <c r="H246" s="10"/>
      <c r="I246" s="11"/>
      <c r="J246" s="11"/>
      <c r="K246" s="11"/>
      <c r="L246" s="11"/>
      <c r="M246" s="11"/>
      <c r="N246" s="11"/>
      <c r="O246" s="11"/>
      <c r="P246" s="11"/>
      <c r="Q246" s="11">
        <f>SUM(Q244:Q245)</f>
        <v>3152</v>
      </c>
      <c r="R246" s="11">
        <f>SUM(R244:R245)</f>
        <v>0</v>
      </c>
      <c r="S246" s="11">
        <f>SUM(S244:S245)</f>
        <v>37824</v>
      </c>
    </row>
    <row r="247" spans="1:19" ht="12.75" customHeight="1">
      <c r="A247" s="3" t="s">
        <v>174</v>
      </c>
      <c r="B247" s="2" t="s">
        <v>233</v>
      </c>
      <c r="C247" s="3"/>
      <c r="D247" s="3"/>
      <c r="E247" s="122"/>
      <c r="F247" s="3"/>
      <c r="G247" s="3"/>
      <c r="H247" s="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2.75" customHeight="1">
      <c r="A248" s="7"/>
      <c r="B248" s="31" t="s">
        <v>502</v>
      </c>
      <c r="C248" s="7">
        <v>1</v>
      </c>
      <c r="D248" s="7">
        <v>11</v>
      </c>
      <c r="E248" s="7">
        <v>1678</v>
      </c>
      <c r="F248" s="7">
        <f>E248*C248</f>
        <v>1678</v>
      </c>
      <c r="G248" s="7"/>
      <c r="H248" s="7"/>
      <c r="I248" s="4"/>
      <c r="J248" s="4"/>
      <c r="K248" s="4"/>
      <c r="L248" s="4"/>
      <c r="M248" s="4"/>
      <c r="N248" s="4"/>
      <c r="O248" s="4"/>
      <c r="P248" s="4"/>
      <c r="Q248" s="4">
        <f>E248*C248+SUM(G248:O248)</f>
        <v>1678</v>
      </c>
      <c r="R248" s="4"/>
      <c r="S248" s="4">
        <f>Q248*$R$17</f>
        <v>20136</v>
      </c>
    </row>
    <row r="249" spans="1:19" ht="12.75" customHeight="1">
      <c r="A249" s="8"/>
      <c r="B249" s="27" t="s">
        <v>46</v>
      </c>
      <c r="C249" s="8">
        <v>1</v>
      </c>
      <c r="D249" s="7">
        <v>9</v>
      </c>
      <c r="E249" s="7">
        <v>1474</v>
      </c>
      <c r="F249" s="7">
        <f>E249*C249</f>
        <v>1474</v>
      </c>
      <c r="G249" s="8"/>
      <c r="H249" s="8"/>
      <c r="I249" s="9"/>
      <c r="J249" s="9"/>
      <c r="K249" s="9"/>
      <c r="L249" s="9"/>
      <c r="M249" s="9"/>
      <c r="N249" s="9"/>
      <c r="O249" s="9"/>
      <c r="P249" s="9"/>
      <c r="Q249" s="4">
        <f>E249*C249+SUM(G249:O249)</f>
        <v>1474</v>
      </c>
      <c r="R249" s="4"/>
      <c r="S249" s="4">
        <f>Q249*$R$17</f>
        <v>17688</v>
      </c>
    </row>
    <row r="250" spans="1:19" ht="12.75" customHeight="1">
      <c r="A250" s="10"/>
      <c r="B250" s="26" t="s">
        <v>40</v>
      </c>
      <c r="C250" s="10">
        <f>SUM(C248:C249)</f>
        <v>2</v>
      </c>
      <c r="D250" s="10"/>
      <c r="E250" s="11"/>
      <c r="F250" s="11">
        <f>SUM(F248:F249)</f>
        <v>3152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4"/>
      <c r="Q250" s="11">
        <f>SUM(Q248:Q249)</f>
        <v>3152</v>
      </c>
      <c r="R250" s="11">
        <f>SUM(R248:R249)</f>
        <v>0</v>
      </c>
      <c r="S250" s="11">
        <f>SUM(S248:S249)</f>
        <v>37824</v>
      </c>
    </row>
    <row r="251" spans="1:19" ht="24.75" customHeight="1">
      <c r="A251" s="3" t="s">
        <v>204</v>
      </c>
      <c r="B251" s="2" t="s">
        <v>496</v>
      </c>
      <c r="C251" s="3"/>
      <c r="D251" s="3"/>
      <c r="E251" s="3"/>
      <c r="F251" s="3"/>
      <c r="G251" s="3"/>
      <c r="H251" s="3"/>
      <c r="I251" s="5"/>
      <c r="J251" s="5"/>
      <c r="K251" s="5"/>
      <c r="L251" s="5"/>
      <c r="M251" s="5"/>
      <c r="N251" s="5"/>
      <c r="O251" s="5"/>
      <c r="P251" s="61"/>
      <c r="Q251" s="61"/>
      <c r="R251" s="61"/>
      <c r="S251" s="5"/>
    </row>
    <row r="252" spans="1:19" ht="12.75">
      <c r="A252" s="7"/>
      <c r="B252" s="31" t="s">
        <v>502</v>
      </c>
      <c r="C252" s="7">
        <v>1</v>
      </c>
      <c r="D252" s="7">
        <v>11</v>
      </c>
      <c r="E252" s="7">
        <v>1678</v>
      </c>
      <c r="F252" s="7">
        <f>E252*C252</f>
        <v>1678</v>
      </c>
      <c r="G252" s="7"/>
      <c r="H252" s="7"/>
      <c r="I252" s="4"/>
      <c r="J252" s="4"/>
      <c r="K252" s="4"/>
      <c r="L252" s="4"/>
      <c r="M252" s="4"/>
      <c r="N252" s="4"/>
      <c r="O252" s="4"/>
      <c r="P252" s="4"/>
      <c r="Q252" s="4">
        <f>E252*C252+SUM(G252:O252)</f>
        <v>1678</v>
      </c>
      <c r="R252" s="4"/>
      <c r="S252" s="4">
        <f>Q252*$R$17</f>
        <v>20136</v>
      </c>
    </row>
    <row r="253" spans="1:19" ht="12.75" customHeight="1">
      <c r="A253" s="7"/>
      <c r="B253" s="31" t="s">
        <v>61</v>
      </c>
      <c r="C253" s="7">
        <v>1</v>
      </c>
      <c r="D253" s="7">
        <v>7</v>
      </c>
      <c r="E253" s="7">
        <v>1312</v>
      </c>
      <c r="F253" s="7">
        <f>E253*C253</f>
        <v>1312</v>
      </c>
      <c r="G253" s="7"/>
      <c r="H253" s="7"/>
      <c r="I253" s="4"/>
      <c r="J253" s="4"/>
      <c r="K253" s="4"/>
      <c r="L253" s="4"/>
      <c r="M253" s="4"/>
      <c r="N253" s="4"/>
      <c r="O253" s="4"/>
      <c r="P253" s="4"/>
      <c r="Q253" s="4">
        <f>E253*C253+SUM(G253:O253)</f>
        <v>1312</v>
      </c>
      <c r="R253" s="4"/>
      <c r="S253" s="4">
        <f>Q253*$R$17</f>
        <v>15744</v>
      </c>
    </row>
    <row r="254" spans="1:19" ht="12.75" customHeight="1">
      <c r="A254" s="8"/>
      <c r="B254" s="27" t="s">
        <v>457</v>
      </c>
      <c r="C254" s="8">
        <v>1</v>
      </c>
      <c r="D254" s="8">
        <v>4</v>
      </c>
      <c r="E254" s="8">
        <v>1243</v>
      </c>
      <c r="F254" s="7">
        <f>E254*C254</f>
        <v>1243</v>
      </c>
      <c r="G254" s="8"/>
      <c r="H254" s="8"/>
      <c r="I254" s="8"/>
      <c r="J254" s="8"/>
      <c r="K254" s="8"/>
      <c r="L254" s="8"/>
      <c r="M254" s="8"/>
      <c r="N254" s="8"/>
      <c r="O254" s="8"/>
      <c r="P254" s="7"/>
      <c r="Q254" s="4">
        <f>E254*C254+SUM(G254:O254)</f>
        <v>1243</v>
      </c>
      <c r="R254" s="7"/>
      <c r="S254" s="4">
        <f>Q254*$R$17</f>
        <v>14916</v>
      </c>
    </row>
    <row r="255" spans="1:19" ht="12.75" customHeight="1">
      <c r="A255" s="10"/>
      <c r="B255" s="26" t="s">
        <v>40</v>
      </c>
      <c r="C255" s="10">
        <f>SUM(C252:C254)</f>
        <v>3</v>
      </c>
      <c r="D255" s="10"/>
      <c r="E255" s="10"/>
      <c r="F255" s="10">
        <f>SUM(F252:F254)</f>
        <v>4233</v>
      </c>
      <c r="G255" s="10"/>
      <c r="H255" s="10"/>
      <c r="I255" s="11"/>
      <c r="J255" s="11"/>
      <c r="K255" s="11"/>
      <c r="L255" s="11"/>
      <c r="M255" s="11"/>
      <c r="N255" s="11"/>
      <c r="O255" s="11"/>
      <c r="P255" s="11"/>
      <c r="Q255" s="11">
        <f>SUM(Q252:Q254)</f>
        <v>4233</v>
      </c>
      <c r="R255" s="11">
        <f>SUM(R252:R254)</f>
        <v>0</v>
      </c>
      <c r="S255" s="11">
        <f>SUM(S252:S254)</f>
        <v>50796</v>
      </c>
    </row>
    <row r="256" spans="1:19" ht="12" customHeight="1">
      <c r="A256" s="3" t="s">
        <v>260</v>
      </c>
      <c r="B256" s="58" t="s">
        <v>237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" customHeight="1">
      <c r="A257" s="8"/>
      <c r="B257" s="31" t="s">
        <v>44</v>
      </c>
      <c r="C257" s="8">
        <v>1</v>
      </c>
      <c r="D257" s="8">
        <v>7</v>
      </c>
      <c r="E257" s="8">
        <v>1312</v>
      </c>
      <c r="F257" s="8">
        <f>E257*C257</f>
        <v>1312</v>
      </c>
      <c r="G257" s="8"/>
      <c r="H257" s="8"/>
      <c r="I257" s="9"/>
      <c r="J257" s="9"/>
      <c r="K257" s="9"/>
      <c r="L257" s="9"/>
      <c r="M257" s="9"/>
      <c r="N257" s="9"/>
      <c r="O257" s="9"/>
      <c r="P257" s="9"/>
      <c r="Q257" s="4">
        <f>E257*C257+SUM(G257:O257)</f>
        <v>1312</v>
      </c>
      <c r="R257" s="4"/>
      <c r="S257" s="4">
        <f>Q257*$R$17</f>
        <v>15744</v>
      </c>
    </row>
    <row r="258" spans="1:19" ht="12" customHeight="1">
      <c r="A258" s="10"/>
      <c r="B258" s="26" t="s">
        <v>40</v>
      </c>
      <c r="C258" s="10">
        <f>SUM(C257:C257)</f>
        <v>1</v>
      </c>
      <c r="D258" s="10"/>
      <c r="E258" s="10"/>
      <c r="F258" s="10">
        <f>SUM(F257:F257)</f>
        <v>1312</v>
      </c>
      <c r="G258" s="10"/>
      <c r="H258" s="10"/>
      <c r="I258" s="11"/>
      <c r="J258" s="10"/>
      <c r="K258" s="10"/>
      <c r="L258" s="10"/>
      <c r="M258" s="10"/>
      <c r="N258" s="10"/>
      <c r="O258" s="10"/>
      <c r="P258" s="11"/>
      <c r="Q258" s="11">
        <f>SUM(Q257:Q257)</f>
        <v>1312</v>
      </c>
      <c r="R258" s="11">
        <f>SUM(R257:R257)</f>
        <v>0</v>
      </c>
      <c r="S258" s="11">
        <f>SUM(S257:S257)</f>
        <v>15744</v>
      </c>
    </row>
    <row r="259" spans="1:19" ht="12" customHeight="1">
      <c r="A259" s="3" t="s">
        <v>337</v>
      </c>
      <c r="B259" s="2" t="s">
        <v>232</v>
      </c>
      <c r="C259" s="3"/>
      <c r="D259" s="3"/>
      <c r="E259" s="122"/>
      <c r="F259" s="12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" customHeight="1">
      <c r="A260" s="7"/>
      <c r="B260" s="27" t="s">
        <v>154</v>
      </c>
      <c r="C260" s="7">
        <v>1</v>
      </c>
      <c r="D260" s="7">
        <v>4</v>
      </c>
      <c r="E260" s="8">
        <v>1243</v>
      </c>
      <c r="F260" s="7">
        <f>E260*C260</f>
        <v>1243</v>
      </c>
      <c r="G260" s="8"/>
      <c r="H260" s="8"/>
      <c r="I260" s="8"/>
      <c r="J260" s="8"/>
      <c r="K260" s="8"/>
      <c r="L260" s="8"/>
      <c r="M260" s="8"/>
      <c r="N260" s="8"/>
      <c r="O260" s="8"/>
      <c r="P260" s="7"/>
      <c r="Q260" s="4">
        <f>E260*C260+SUM(G260:O260)</f>
        <v>1243</v>
      </c>
      <c r="R260" s="7"/>
      <c r="S260" s="4">
        <f>Q260*$R$17</f>
        <v>14916</v>
      </c>
    </row>
    <row r="261" spans="1:19" ht="12" customHeight="1">
      <c r="A261" s="10"/>
      <c r="B261" s="26" t="s">
        <v>40</v>
      </c>
      <c r="C261" s="10">
        <f>SUM(C260:C260)</f>
        <v>1</v>
      </c>
      <c r="D261" s="10"/>
      <c r="E261" s="68"/>
      <c r="F261" s="10">
        <f>SUM(F260:F260)</f>
        <v>1243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>
        <f>SUM(Q260:Q260)</f>
        <v>1243</v>
      </c>
      <c r="R261" s="11">
        <f>SUM(R260:R260)</f>
        <v>0</v>
      </c>
      <c r="S261" s="11">
        <f>SUM(S260:S260)</f>
        <v>14916</v>
      </c>
    </row>
    <row r="262" spans="1:19" ht="24.75" customHeight="1">
      <c r="A262" s="3" t="s">
        <v>338</v>
      </c>
      <c r="B262" s="2" t="s">
        <v>95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9"/>
      <c r="Q262" s="29"/>
      <c r="R262" s="29"/>
      <c r="S262" s="3"/>
    </row>
    <row r="263" spans="1:19" ht="12.75">
      <c r="A263" s="7"/>
      <c r="B263" s="31" t="s">
        <v>96</v>
      </c>
      <c r="C263" s="7">
        <v>1</v>
      </c>
      <c r="D263" s="7">
        <v>11</v>
      </c>
      <c r="E263" s="7">
        <v>1678</v>
      </c>
      <c r="F263" s="7">
        <f aca="true" t="shared" si="18" ref="F263:F271">E263*C263</f>
        <v>1678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4">
        <f aca="true" t="shared" si="19" ref="Q263:Q271">E263*C263+SUM(G263:O263)</f>
        <v>1678</v>
      </c>
      <c r="R263" s="32"/>
      <c r="S263" s="4">
        <f aca="true" t="shared" si="20" ref="S263:S271">Q263*$R$17</f>
        <v>20136</v>
      </c>
    </row>
    <row r="264" spans="1:19" ht="12.75">
      <c r="A264" s="7"/>
      <c r="B264" s="31" t="s">
        <v>56</v>
      </c>
      <c r="C264" s="7">
        <v>2</v>
      </c>
      <c r="D264" s="7">
        <v>8</v>
      </c>
      <c r="E264" s="7">
        <v>1397</v>
      </c>
      <c r="F264" s="7">
        <f t="shared" si="18"/>
        <v>2794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4">
        <f t="shared" si="19"/>
        <v>2794</v>
      </c>
      <c r="R264" s="7"/>
      <c r="S264" s="4">
        <f t="shared" si="20"/>
        <v>33528</v>
      </c>
    </row>
    <row r="265" spans="1:19" ht="12.75">
      <c r="A265" s="7"/>
      <c r="B265" s="31" t="s">
        <v>77</v>
      </c>
      <c r="C265" s="7">
        <v>2</v>
      </c>
      <c r="D265" s="7">
        <v>7</v>
      </c>
      <c r="E265" s="7">
        <v>1312</v>
      </c>
      <c r="F265" s="7">
        <f t="shared" si="18"/>
        <v>2624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4">
        <f t="shared" si="19"/>
        <v>2624</v>
      </c>
      <c r="R265" s="7"/>
      <c r="S265" s="4">
        <f t="shared" si="20"/>
        <v>31488</v>
      </c>
    </row>
    <row r="266" spans="1:19" ht="12.75">
      <c r="A266" s="7"/>
      <c r="B266" s="31" t="s">
        <v>483</v>
      </c>
      <c r="C266" s="7">
        <v>1.5</v>
      </c>
      <c r="D266" s="7">
        <v>6</v>
      </c>
      <c r="E266" s="7">
        <v>1263</v>
      </c>
      <c r="F266" s="7">
        <f t="shared" si="18"/>
        <v>1894.5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4">
        <f t="shared" si="19"/>
        <v>1894.5</v>
      </c>
      <c r="R266" s="7"/>
      <c r="S266" s="4">
        <f t="shared" si="20"/>
        <v>22734</v>
      </c>
    </row>
    <row r="267" spans="1:19" ht="12.75">
      <c r="A267" s="7"/>
      <c r="B267" s="31" t="s">
        <v>482</v>
      </c>
      <c r="C267" s="7">
        <v>2</v>
      </c>
      <c r="D267" s="7">
        <v>5</v>
      </c>
      <c r="E267" s="7">
        <v>1253</v>
      </c>
      <c r="F267" s="7">
        <f t="shared" si="18"/>
        <v>2506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4">
        <f t="shared" si="19"/>
        <v>2506</v>
      </c>
      <c r="R267" s="7"/>
      <c r="S267" s="4">
        <f t="shared" si="20"/>
        <v>30072</v>
      </c>
    </row>
    <row r="268" spans="1:19" ht="12.75">
      <c r="A268" s="7"/>
      <c r="B268" s="31" t="s">
        <v>97</v>
      </c>
      <c r="C268" s="7">
        <v>0.5</v>
      </c>
      <c r="D268" s="7">
        <v>5</v>
      </c>
      <c r="E268" s="7">
        <v>1253</v>
      </c>
      <c r="F268" s="4">
        <f t="shared" si="18"/>
        <v>626.5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4">
        <f t="shared" si="19"/>
        <v>626.5</v>
      </c>
      <c r="R268" s="7"/>
      <c r="S268" s="4">
        <f t="shared" si="20"/>
        <v>7518</v>
      </c>
    </row>
    <row r="269" spans="1:19" ht="12.75">
      <c r="A269" s="7"/>
      <c r="B269" s="31" t="s">
        <v>236</v>
      </c>
      <c r="C269" s="7">
        <v>1</v>
      </c>
      <c r="D269" s="7">
        <v>7</v>
      </c>
      <c r="E269" s="7">
        <v>1312</v>
      </c>
      <c r="F269" s="7">
        <f t="shared" si="18"/>
        <v>1312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4">
        <f t="shared" si="19"/>
        <v>1312</v>
      </c>
      <c r="R269" s="7"/>
      <c r="S269" s="4">
        <f t="shared" si="20"/>
        <v>15744</v>
      </c>
    </row>
    <row r="270" spans="1:19" ht="12.75">
      <c r="A270" s="7"/>
      <c r="B270" s="31" t="s">
        <v>425</v>
      </c>
      <c r="C270" s="7">
        <v>0.5</v>
      </c>
      <c r="D270" s="7">
        <v>5</v>
      </c>
      <c r="E270" s="7">
        <v>1253</v>
      </c>
      <c r="F270" s="7">
        <f t="shared" si="18"/>
        <v>626.5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4">
        <f t="shared" si="19"/>
        <v>626.5</v>
      </c>
      <c r="R270" s="7"/>
      <c r="S270" s="4">
        <f t="shared" si="20"/>
        <v>7518</v>
      </c>
    </row>
    <row r="271" spans="1:19" ht="12.75">
      <c r="A271" s="7"/>
      <c r="B271" s="31" t="s">
        <v>426</v>
      </c>
      <c r="C271" s="7">
        <v>0.5</v>
      </c>
      <c r="D271" s="7">
        <v>4</v>
      </c>
      <c r="E271" s="8">
        <v>1243</v>
      </c>
      <c r="F271" s="7">
        <f t="shared" si="18"/>
        <v>621.5</v>
      </c>
      <c r="G271" s="8"/>
      <c r="H271" s="8"/>
      <c r="I271" s="8"/>
      <c r="J271" s="8"/>
      <c r="K271" s="8"/>
      <c r="L271" s="8"/>
      <c r="M271" s="8"/>
      <c r="N271" s="8"/>
      <c r="O271" s="8"/>
      <c r="P271" s="7"/>
      <c r="Q271" s="4">
        <f t="shared" si="19"/>
        <v>621.5</v>
      </c>
      <c r="R271" s="7"/>
      <c r="S271" s="4">
        <f t="shared" si="20"/>
        <v>7458</v>
      </c>
    </row>
    <row r="272" spans="1:19" ht="12.75">
      <c r="A272" s="10"/>
      <c r="B272" s="26" t="s">
        <v>40</v>
      </c>
      <c r="C272" s="22">
        <f>SUM(C263:C271)</f>
        <v>11</v>
      </c>
      <c r="D272" s="10"/>
      <c r="E272" s="10"/>
      <c r="F272" s="10">
        <f>SUM(F263:F271)</f>
        <v>14683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2">
        <f>SUM(Q263:Q271)</f>
        <v>14683</v>
      </c>
      <c r="R272" s="22">
        <f>SUM(R263:R271)</f>
        <v>0</v>
      </c>
      <c r="S272" s="22">
        <f>SUM(S263:S271)</f>
        <v>176196</v>
      </c>
    </row>
    <row r="273" spans="1:19" ht="25.5" customHeight="1">
      <c r="A273" s="3" t="s">
        <v>339</v>
      </c>
      <c r="B273" s="2" t="s">
        <v>99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" customHeight="1">
      <c r="A274" s="7"/>
      <c r="B274" s="31" t="s">
        <v>502</v>
      </c>
      <c r="C274" s="7">
        <v>1</v>
      </c>
      <c r="D274" s="7">
        <v>11</v>
      </c>
      <c r="E274" s="7">
        <v>1678</v>
      </c>
      <c r="F274" s="7">
        <f>E274*C274</f>
        <v>1678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4">
        <f>E274*C274+SUM(G274:O274)</f>
        <v>1678</v>
      </c>
      <c r="R274" s="7"/>
      <c r="S274" s="4">
        <f>Q274*$R$17</f>
        <v>20136</v>
      </c>
    </row>
    <row r="275" spans="1:19" ht="12" customHeight="1">
      <c r="A275" s="8"/>
      <c r="B275" s="27" t="s">
        <v>192</v>
      </c>
      <c r="C275" s="8">
        <v>2</v>
      </c>
      <c r="D275" s="8">
        <v>6</v>
      </c>
      <c r="E275" s="8">
        <v>1263</v>
      </c>
      <c r="F275" s="7">
        <f>E275*C275</f>
        <v>2526</v>
      </c>
      <c r="G275" s="8"/>
      <c r="H275" s="8"/>
      <c r="I275" s="8"/>
      <c r="J275" s="8"/>
      <c r="K275" s="8"/>
      <c r="L275" s="8"/>
      <c r="M275" s="8"/>
      <c r="N275" s="8"/>
      <c r="O275" s="8"/>
      <c r="P275" s="7"/>
      <c r="Q275" s="4">
        <f>E275*C275+SUM(G275:O275)</f>
        <v>2526</v>
      </c>
      <c r="R275" s="7"/>
      <c r="S275" s="4">
        <f>Q275*$R$17</f>
        <v>30312</v>
      </c>
    </row>
    <row r="276" spans="1:19" ht="12" customHeight="1">
      <c r="A276" s="10"/>
      <c r="B276" s="26" t="s">
        <v>40</v>
      </c>
      <c r="C276" s="10">
        <f>SUM(C274:C275)</f>
        <v>3</v>
      </c>
      <c r="D276" s="10"/>
      <c r="E276" s="10"/>
      <c r="F276" s="10">
        <f>SUM(F274:F275)</f>
        <v>4204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>
        <f>SUM(Q274:Q275)</f>
        <v>4204</v>
      </c>
      <c r="R276" s="10">
        <f>SUM(R274:R275)</f>
        <v>0</v>
      </c>
      <c r="S276" s="10">
        <f>SUM(S274:S275)</f>
        <v>50448</v>
      </c>
    </row>
    <row r="277" spans="1:19" ht="24" customHeight="1">
      <c r="A277" s="3" t="s">
        <v>389</v>
      </c>
      <c r="B277" s="49" t="s">
        <v>155</v>
      </c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" customHeight="1">
      <c r="A278" s="7"/>
      <c r="B278" s="31" t="s">
        <v>502</v>
      </c>
      <c r="C278" s="7">
        <v>1</v>
      </c>
      <c r="D278" s="7">
        <v>11</v>
      </c>
      <c r="E278" s="7">
        <v>1678</v>
      </c>
      <c r="F278" s="7">
        <f>E278*C278</f>
        <v>1678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4">
        <f>E278*C278+SUM(G278:O278)</f>
        <v>1678</v>
      </c>
      <c r="R278" s="7"/>
      <c r="S278" s="4">
        <f>Q278*$R$17</f>
        <v>20136</v>
      </c>
    </row>
    <row r="279" spans="1:19" ht="12" customHeight="1">
      <c r="A279" s="7"/>
      <c r="B279" s="31" t="s">
        <v>61</v>
      </c>
      <c r="C279" s="7">
        <v>1</v>
      </c>
      <c r="D279" s="7">
        <v>7</v>
      </c>
      <c r="E279" s="7">
        <v>1312</v>
      </c>
      <c r="F279" s="7">
        <f>E279*C279</f>
        <v>1312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4">
        <f>E279*C279+SUM(G279:O279)</f>
        <v>1312</v>
      </c>
      <c r="R279" s="7"/>
      <c r="S279" s="4">
        <f>Q279*$R$17</f>
        <v>15744</v>
      </c>
    </row>
    <row r="280" spans="1:19" ht="12" customHeight="1">
      <c r="A280" s="7"/>
      <c r="B280" s="31" t="s">
        <v>413</v>
      </c>
      <c r="C280" s="7">
        <v>1</v>
      </c>
      <c r="D280" s="7">
        <v>7</v>
      </c>
      <c r="E280" s="7">
        <v>1312</v>
      </c>
      <c r="F280" s="7">
        <f>E280*C280</f>
        <v>1312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4">
        <f>E280*C280+SUM(G280:O280)</f>
        <v>1312</v>
      </c>
      <c r="R280" s="7"/>
      <c r="S280" s="4">
        <f>Q280*$R$17</f>
        <v>15744</v>
      </c>
    </row>
    <row r="281" spans="1:19" ht="12" customHeight="1">
      <c r="A281" s="8"/>
      <c r="B281" s="27" t="s">
        <v>52</v>
      </c>
      <c r="C281" s="8">
        <v>1</v>
      </c>
      <c r="D281" s="8">
        <v>4</v>
      </c>
      <c r="E281" s="8">
        <v>1243</v>
      </c>
      <c r="F281" s="7">
        <f>E281*C281</f>
        <v>1243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4">
        <f>E281*C281+SUM(G281:O281)</f>
        <v>1243</v>
      </c>
      <c r="R281" s="7"/>
      <c r="S281" s="4">
        <f>Q281*$R$17</f>
        <v>14916</v>
      </c>
    </row>
    <row r="282" spans="1:19" ht="12" customHeight="1">
      <c r="A282" s="3"/>
      <c r="B282" s="26" t="s">
        <v>40</v>
      </c>
      <c r="C282" s="10">
        <f>SUM(C278:C281)</f>
        <v>4</v>
      </c>
      <c r="D282" s="10"/>
      <c r="E282" s="10"/>
      <c r="F282" s="10">
        <f>SUM(F278:F281)</f>
        <v>5545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1">
        <f>SUM(Q278:Q281)</f>
        <v>5545</v>
      </c>
      <c r="R282" s="10">
        <f>SUM(R280:R281)</f>
        <v>0</v>
      </c>
      <c r="S282" s="11">
        <f>SUM(S278:S281)</f>
        <v>66540</v>
      </c>
    </row>
    <row r="283" spans="1:19" ht="12" customHeight="1">
      <c r="A283" s="3" t="s">
        <v>390</v>
      </c>
      <c r="B283" s="58" t="s">
        <v>245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" customHeight="1">
      <c r="A284" s="7"/>
      <c r="B284" s="31" t="s">
        <v>449</v>
      </c>
      <c r="C284" s="7">
        <v>1</v>
      </c>
      <c r="D284" s="7">
        <v>8</v>
      </c>
      <c r="E284" s="7">
        <v>1397</v>
      </c>
      <c r="F284" s="7">
        <f>E284*C284</f>
        <v>1397</v>
      </c>
      <c r="G284" s="62"/>
      <c r="H284" s="62"/>
      <c r="I284" s="62"/>
      <c r="J284" s="62"/>
      <c r="K284" s="62"/>
      <c r="L284" s="62"/>
      <c r="M284" s="62"/>
      <c r="N284" s="62"/>
      <c r="O284" s="63"/>
      <c r="P284" s="62"/>
      <c r="Q284" s="4">
        <f>E284*C284+SUM(G284:O284)</f>
        <v>1397</v>
      </c>
      <c r="R284" s="7"/>
      <c r="S284" s="4">
        <f>Q284*$R$17</f>
        <v>16764</v>
      </c>
    </row>
    <row r="285" spans="1:19" ht="12" customHeight="1">
      <c r="A285" s="7"/>
      <c r="B285" s="31" t="s">
        <v>61</v>
      </c>
      <c r="C285" s="7">
        <v>1</v>
      </c>
      <c r="D285" s="7">
        <v>7</v>
      </c>
      <c r="E285" s="7">
        <v>1312</v>
      </c>
      <c r="F285" s="7">
        <f>E285*C285</f>
        <v>1312</v>
      </c>
      <c r="G285" s="62"/>
      <c r="H285" s="62"/>
      <c r="I285" s="62"/>
      <c r="J285" s="62"/>
      <c r="K285" s="62"/>
      <c r="L285" s="62"/>
      <c r="M285" s="62"/>
      <c r="N285" s="62"/>
      <c r="O285" s="63"/>
      <c r="P285" s="62"/>
      <c r="Q285" s="4">
        <f>E285*C285+SUM(G285:O285)</f>
        <v>1312</v>
      </c>
      <c r="R285" s="7"/>
      <c r="S285" s="4">
        <f>Q285*$R$17</f>
        <v>15744</v>
      </c>
    </row>
    <row r="286" spans="1:19" ht="12" customHeight="1">
      <c r="A286" s="8"/>
      <c r="B286" s="27" t="s">
        <v>39</v>
      </c>
      <c r="C286" s="8">
        <v>1</v>
      </c>
      <c r="D286" s="8">
        <v>4</v>
      </c>
      <c r="E286" s="8">
        <v>1243</v>
      </c>
      <c r="F286" s="7">
        <f>E286*C286</f>
        <v>1243</v>
      </c>
      <c r="G286" s="59"/>
      <c r="H286" s="59"/>
      <c r="I286" s="59"/>
      <c r="J286" s="59"/>
      <c r="K286" s="59"/>
      <c r="L286" s="59"/>
      <c r="M286" s="59"/>
      <c r="N286" s="59"/>
      <c r="O286" s="60"/>
      <c r="P286" s="59"/>
      <c r="Q286" s="4">
        <f>E286*C286+SUM(G286:O286)</f>
        <v>1243</v>
      </c>
      <c r="R286" s="7"/>
      <c r="S286" s="4">
        <f>Q286*$R$17</f>
        <v>14916</v>
      </c>
    </row>
    <row r="287" spans="1:19" ht="12" customHeight="1">
      <c r="A287" s="10"/>
      <c r="B287" s="26" t="s">
        <v>40</v>
      </c>
      <c r="C287" s="10">
        <f>SUM(C283:C286)</f>
        <v>3</v>
      </c>
      <c r="D287" s="10"/>
      <c r="E287" s="11"/>
      <c r="F287" s="10">
        <f>SUM(F284:F286)</f>
        <v>3952</v>
      </c>
      <c r="G287" s="64"/>
      <c r="H287" s="64"/>
      <c r="I287" s="64"/>
      <c r="J287" s="64"/>
      <c r="K287" s="64"/>
      <c r="L287" s="64"/>
      <c r="M287" s="64"/>
      <c r="N287" s="11"/>
      <c r="O287" s="11"/>
      <c r="P287" s="11"/>
      <c r="Q287" s="10">
        <f>SUM(Q284:Q286)</f>
        <v>3952</v>
      </c>
      <c r="R287" s="10">
        <f>SUM(R284:R286)</f>
        <v>0</v>
      </c>
      <c r="S287" s="10">
        <f>SUM(S284:S286)</f>
        <v>47424</v>
      </c>
    </row>
    <row r="288" spans="1:19" ht="12" customHeight="1">
      <c r="A288" s="3" t="s">
        <v>391</v>
      </c>
      <c r="B288" s="2" t="s">
        <v>100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" customHeight="1">
      <c r="A289" s="8"/>
      <c r="B289" s="27" t="s">
        <v>503</v>
      </c>
      <c r="C289" s="8">
        <v>1</v>
      </c>
      <c r="D289" s="8">
        <v>10</v>
      </c>
      <c r="E289" s="8">
        <v>1551</v>
      </c>
      <c r="F289" s="7">
        <f>E289*C289</f>
        <v>1551</v>
      </c>
      <c r="G289" s="8"/>
      <c r="H289" s="8"/>
      <c r="I289" s="9">
        <f>E289*C289*0.3</f>
        <v>465.29999999999995</v>
      </c>
      <c r="J289" s="9"/>
      <c r="K289" s="9"/>
      <c r="L289" s="9"/>
      <c r="M289" s="9"/>
      <c r="N289" s="9"/>
      <c r="O289" s="9"/>
      <c r="P289" s="4">
        <f>SUM(G289:O289)</f>
        <v>465.29999999999995</v>
      </c>
      <c r="Q289" s="4">
        <f>E289*C289+SUM(G289:O289)</f>
        <v>2016.3</v>
      </c>
      <c r="R289" s="4"/>
      <c r="S289" s="4">
        <f>Q289*$R$17</f>
        <v>24195.6</v>
      </c>
    </row>
    <row r="290" spans="1:19" ht="12" customHeight="1">
      <c r="A290" s="10"/>
      <c r="B290" s="26" t="s">
        <v>40</v>
      </c>
      <c r="C290" s="10">
        <f>SUM(C289)</f>
        <v>1</v>
      </c>
      <c r="D290" s="10"/>
      <c r="E290" s="10"/>
      <c r="F290" s="10">
        <f>SUM(F289)</f>
        <v>1551</v>
      </c>
      <c r="G290" s="10"/>
      <c r="H290" s="10"/>
      <c r="I290" s="11">
        <f>I289</f>
        <v>465.29999999999995</v>
      </c>
      <c r="J290" s="11"/>
      <c r="K290" s="11"/>
      <c r="L290" s="11"/>
      <c r="M290" s="11"/>
      <c r="N290" s="11"/>
      <c r="O290" s="11"/>
      <c r="P290" s="11">
        <f>SUM(P289:P289)</f>
        <v>465.29999999999995</v>
      </c>
      <c r="Q290" s="11">
        <f>SUM(Q289:Q289)</f>
        <v>2016.3</v>
      </c>
      <c r="R290" s="11">
        <f>SUM(R289:R289)</f>
        <v>0</v>
      </c>
      <c r="S290" s="11">
        <f>SUM(S289:S289)</f>
        <v>24195.6</v>
      </c>
    </row>
    <row r="291" spans="1:19" ht="12" customHeight="1">
      <c r="A291" s="10"/>
      <c r="B291" s="26" t="s">
        <v>101</v>
      </c>
      <c r="C291" s="22">
        <f>C57+C61+C65+C70+C75+C80+C87+C92+C96+C102+C108+C116+C122+C127+C131+C138+C144+C150+C157+C165+C171+C174+C177+C183+C189+C193+C198+C203+C209+C214+C218+C221+C226+C231+C235+C238+C242+C246+C250+C255+C258+C261+C272+C276+C282+C287+C290</f>
        <v>173.5</v>
      </c>
      <c r="D291" s="22"/>
      <c r="E291" s="22"/>
      <c r="F291" s="11">
        <f>F57+F61+F65+F70+F75+F80+F87+F92+F96+F102+F108+F116+F122+F127+F131+F138+F144+F150+F157+F165+F171+F174+F177+F183+F189+F193+F198+F203+F209+F214+F218+F221+F226+F231+F235+F238+F242+F246+F250+F255+F258+F261+F272+F276+F282+F287+F290</f>
        <v>238440.5</v>
      </c>
      <c r="G291" s="11"/>
      <c r="H291" s="11"/>
      <c r="I291" s="11">
        <f>I57+I61+I65+I70+I75+I80+I87+I92+I96+I102+I108+I116+I122+I127+I131+I138+I144+I150+I157+I165+I171+I174+I177+I183+I189+I193+I198+I203+I209+I214+I218+I221+I226+I231+I235+I238+I242+I246+I250+I255+I258+I261+I272+I276+I282+I287+I290</f>
        <v>465.29999999999995</v>
      </c>
      <c r="J291" s="11"/>
      <c r="K291" s="11"/>
      <c r="L291" s="11"/>
      <c r="M291" s="11"/>
      <c r="N291" s="11"/>
      <c r="O291" s="11">
        <f>O57+O61+O65+O70+O75+O80+O87+O92+O96+O102+O108+O116+O122+O127+O131+O138+O144+O150+O157+O165+O171+O174+O177+O183+O189+O193+O198+O203+O209+O214+O218+O221+O226+O231+O235+O238+O242+O246+O250+O255+O258+O261+O272+O276+O282+O287+O290</f>
        <v>959.16</v>
      </c>
      <c r="P291" s="11">
        <f>P57+P61+P65+P70+P75+P80+P87+P92+P96+P102+P108+P116+P122+P127+P131+P138+P144+P150+P157+P165+P171+P174+P177+P183+P189+P193+P198+P203+P209+P214+P218+P221+P226+P231+P235+P238+P242+P246+P250+P255+P258+P261+P272+P276+P282+P287+P290</f>
        <v>1424.46</v>
      </c>
      <c r="Q291" s="11">
        <f>Q57+Q61+Q65+Q70+Q75+Q80+Q87+Q92+Q96+Q102+Q108+Q116+Q122+Q127+Q131+Q138+Q144+Q150+Q157+Q165+Q171+Q174+Q177+Q183+Q189+Q193+Q198+Q203+Q209+Q214+Q218+Q221+Q226+Q231+Q235+Q238+Q242+Q246+Q250+Q255+Q258+Q261+Q272+Q276+Q282+Q287+Q290</f>
        <v>239864.96</v>
      </c>
      <c r="R291" s="11">
        <f>R57+R61+R65+R70+R75+R80+R87+R92+R96+R102+R108+R116+R122+R127+R131+R138+R144+R150+R157+R165+R171+R174+R177+R183+R189+R193+R198+R203+R209+R214+R218+R221+R226+R231+R235+R238+R242+R246+R250+R255+R258+R261+R272+R276+R282+R287+R290</f>
        <v>0</v>
      </c>
      <c r="S291" s="11">
        <f>S57+S61+S65+S70+S75+S80+S87+S92+S96+S102+S108+S116+S122+S127+S131+S138+S144+S150+S157+S165+S171+S174+S177+S183+S189+S193+S198+S203+S209+S214+S218+S221+S226+S231+S235+S238+S242+S246+S250+S255+S258+S261+S272+S276+S282+S287+S290</f>
        <v>2878379.52</v>
      </c>
    </row>
    <row r="292" spans="1:19" ht="12" customHeight="1">
      <c r="A292" s="10"/>
      <c r="B292" s="197" t="s">
        <v>355</v>
      </c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9"/>
    </row>
    <row r="293" spans="1:19" ht="12" customHeight="1">
      <c r="A293" s="3" t="s">
        <v>9</v>
      </c>
      <c r="B293" s="2" t="s">
        <v>102</v>
      </c>
      <c r="C293" s="3"/>
      <c r="D293" s="3"/>
      <c r="E293" s="3"/>
      <c r="F293" s="7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" customHeight="1">
      <c r="A294" s="7"/>
      <c r="B294" s="31" t="s">
        <v>450</v>
      </c>
      <c r="C294" s="7">
        <v>1</v>
      </c>
      <c r="D294" s="7"/>
      <c r="E294" s="4">
        <v>3344</v>
      </c>
      <c r="F294" s="71">
        <f>E294*C294</f>
        <v>3344</v>
      </c>
      <c r="G294" s="4"/>
      <c r="H294" s="7"/>
      <c r="I294" s="7"/>
      <c r="J294" s="7"/>
      <c r="K294" s="7"/>
      <c r="L294" s="7"/>
      <c r="M294" s="7"/>
      <c r="N294" s="7"/>
      <c r="O294" s="7"/>
      <c r="P294" s="7"/>
      <c r="Q294" s="4">
        <f>E294*C294+SUM(G294:O294)</f>
        <v>3344</v>
      </c>
      <c r="R294" s="4"/>
      <c r="S294" s="4">
        <f>Q294*$R$17</f>
        <v>40128</v>
      </c>
    </row>
    <row r="295" spans="1:19" ht="12" customHeight="1">
      <c r="A295" s="7"/>
      <c r="B295" s="31" t="s">
        <v>563</v>
      </c>
      <c r="C295" s="7">
        <v>1</v>
      </c>
      <c r="D295" s="7"/>
      <c r="E295" s="4">
        <v>2601</v>
      </c>
      <c r="F295" s="71">
        <f aca="true" t="shared" si="21" ref="F295:F300">E295*C295</f>
        <v>2601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4">
        <f aca="true" t="shared" si="22" ref="Q295:Q300">E295*C295+SUM(G295:O295)</f>
        <v>2601</v>
      </c>
      <c r="R295" s="7"/>
      <c r="S295" s="4">
        <f aca="true" t="shared" si="23" ref="S295:S300">Q295*$R$17</f>
        <v>31212</v>
      </c>
    </row>
    <row r="296" spans="1:19" ht="12" customHeight="1">
      <c r="A296" s="7"/>
      <c r="B296" s="31" t="s">
        <v>564</v>
      </c>
      <c r="C296" s="7">
        <v>1</v>
      </c>
      <c r="D296" s="7"/>
      <c r="E296" s="4">
        <v>2174</v>
      </c>
      <c r="F296" s="71">
        <f t="shared" si="21"/>
        <v>2174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4">
        <f t="shared" si="22"/>
        <v>2174</v>
      </c>
      <c r="R296" s="7"/>
      <c r="S296" s="4">
        <f t="shared" si="23"/>
        <v>26088</v>
      </c>
    </row>
    <row r="297" spans="1:19" ht="12" customHeight="1">
      <c r="A297" s="7"/>
      <c r="B297" s="31" t="s">
        <v>565</v>
      </c>
      <c r="C297" s="7">
        <v>1</v>
      </c>
      <c r="D297" s="7">
        <v>12</v>
      </c>
      <c r="E297" s="4">
        <v>1806</v>
      </c>
      <c r="F297" s="71">
        <f t="shared" si="21"/>
        <v>1806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4">
        <f t="shared" si="22"/>
        <v>1806</v>
      </c>
      <c r="R297" s="7"/>
      <c r="S297" s="4">
        <f t="shared" si="23"/>
        <v>21672</v>
      </c>
    </row>
    <row r="298" spans="1:19" ht="12" customHeight="1">
      <c r="A298" s="7"/>
      <c r="B298" s="31" t="s">
        <v>566</v>
      </c>
      <c r="C298" s="7">
        <v>1</v>
      </c>
      <c r="D298" s="7">
        <v>11</v>
      </c>
      <c r="E298" s="4">
        <v>1678</v>
      </c>
      <c r="F298" s="71">
        <f t="shared" si="21"/>
        <v>1678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4">
        <f t="shared" si="22"/>
        <v>1678</v>
      </c>
      <c r="R298" s="7"/>
      <c r="S298" s="4">
        <f t="shared" si="23"/>
        <v>20136</v>
      </c>
    </row>
    <row r="299" spans="1:19" ht="12" customHeight="1">
      <c r="A299" s="7"/>
      <c r="B299" s="31" t="s">
        <v>567</v>
      </c>
      <c r="C299" s="7">
        <v>1</v>
      </c>
      <c r="D299" s="7">
        <v>11</v>
      </c>
      <c r="E299" s="4">
        <v>1678</v>
      </c>
      <c r="F299" s="71">
        <f t="shared" si="21"/>
        <v>1678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4">
        <f t="shared" si="22"/>
        <v>1678</v>
      </c>
      <c r="R299" s="7"/>
      <c r="S299" s="4">
        <f t="shared" si="23"/>
        <v>20136</v>
      </c>
    </row>
    <row r="300" spans="1:19" ht="12" customHeight="1">
      <c r="A300" s="7"/>
      <c r="B300" s="27" t="s">
        <v>568</v>
      </c>
      <c r="C300" s="8">
        <v>1</v>
      </c>
      <c r="D300" s="8">
        <v>4</v>
      </c>
      <c r="E300" s="8">
        <v>1243</v>
      </c>
      <c r="F300" s="71">
        <f t="shared" si="21"/>
        <v>1243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4">
        <f t="shared" si="22"/>
        <v>1243</v>
      </c>
      <c r="R300" s="7"/>
      <c r="S300" s="4">
        <f t="shared" si="23"/>
        <v>14916</v>
      </c>
    </row>
    <row r="301" spans="1:19" ht="12" customHeight="1">
      <c r="A301" s="10"/>
      <c r="B301" s="26" t="s">
        <v>40</v>
      </c>
      <c r="C301" s="10">
        <f>SUM(C294:C300)</f>
        <v>7</v>
      </c>
      <c r="D301" s="10"/>
      <c r="E301" s="10"/>
      <c r="F301" s="72">
        <f>SUM(F294:F300)</f>
        <v>14524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>
        <f>SUM(Q294:Q300)</f>
        <v>14524</v>
      </c>
      <c r="R301" s="11">
        <f>SUM(R294:R300)</f>
        <v>0</v>
      </c>
      <c r="S301" s="11">
        <f>SUM(S294:S300)</f>
        <v>174288</v>
      </c>
    </row>
    <row r="302" spans="1:19" ht="12" customHeight="1">
      <c r="A302" s="3" t="s">
        <v>11</v>
      </c>
      <c r="B302" s="2" t="s">
        <v>470</v>
      </c>
      <c r="C302" s="3"/>
      <c r="D302" s="3"/>
      <c r="E302" s="5"/>
      <c r="F302" s="7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</row>
    <row r="303" spans="1:19" ht="12" customHeight="1">
      <c r="A303" s="7"/>
      <c r="B303" s="31" t="s">
        <v>471</v>
      </c>
      <c r="C303" s="7">
        <v>1</v>
      </c>
      <c r="D303" s="7">
        <v>12</v>
      </c>
      <c r="E303" s="4">
        <v>1806</v>
      </c>
      <c r="F303" s="71">
        <f aca="true" t="shared" si="24" ref="F303:F310">E303*C303</f>
        <v>1806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4">
        <f aca="true" t="shared" si="25" ref="Q303:Q310">E303*C303+SUM(G303:O303)</f>
        <v>1806</v>
      </c>
      <c r="R303" s="7"/>
      <c r="S303" s="4">
        <f aca="true" t="shared" si="26" ref="S303:S310">Q303*$R$17</f>
        <v>21672</v>
      </c>
    </row>
    <row r="304" spans="1:19" ht="24" customHeight="1">
      <c r="A304" s="7"/>
      <c r="B304" s="31" t="s">
        <v>497</v>
      </c>
      <c r="C304" s="7">
        <v>1</v>
      </c>
      <c r="D304" s="7"/>
      <c r="E304" s="4">
        <v>1716</v>
      </c>
      <c r="F304" s="71">
        <f t="shared" si="24"/>
        <v>1716</v>
      </c>
      <c r="G304" s="7"/>
      <c r="H304" s="7"/>
      <c r="I304" s="4"/>
      <c r="J304" s="7"/>
      <c r="K304" s="7"/>
      <c r="L304" s="7"/>
      <c r="M304" s="7"/>
      <c r="N304" s="7"/>
      <c r="O304" s="7"/>
      <c r="P304" s="4"/>
      <c r="Q304" s="4">
        <f t="shared" si="25"/>
        <v>1716</v>
      </c>
      <c r="R304" s="7"/>
      <c r="S304" s="4">
        <f t="shared" si="26"/>
        <v>20592</v>
      </c>
    </row>
    <row r="305" spans="1:19" ht="12" customHeight="1">
      <c r="A305" s="7"/>
      <c r="B305" s="31" t="s">
        <v>107</v>
      </c>
      <c r="C305" s="7">
        <v>2</v>
      </c>
      <c r="D305" s="7">
        <v>7</v>
      </c>
      <c r="E305" s="4">
        <v>1312</v>
      </c>
      <c r="F305" s="71">
        <f t="shared" si="24"/>
        <v>2624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4">
        <f t="shared" si="25"/>
        <v>2624</v>
      </c>
      <c r="R305" s="7"/>
      <c r="S305" s="4">
        <f t="shared" si="26"/>
        <v>31488</v>
      </c>
    </row>
    <row r="306" spans="1:19" ht="12" customHeight="1">
      <c r="A306" s="7"/>
      <c r="B306" s="31" t="s">
        <v>488</v>
      </c>
      <c r="C306" s="7">
        <v>1</v>
      </c>
      <c r="D306" s="7">
        <v>5</v>
      </c>
      <c r="E306" s="4">
        <v>1253</v>
      </c>
      <c r="F306" s="71">
        <f t="shared" si="24"/>
        <v>1253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4">
        <f t="shared" si="25"/>
        <v>1253</v>
      </c>
      <c r="R306" s="7"/>
      <c r="S306" s="4">
        <f t="shared" si="26"/>
        <v>15036</v>
      </c>
    </row>
    <row r="307" spans="1:19" ht="12" customHeight="1">
      <c r="A307" s="7"/>
      <c r="B307" s="31" t="s">
        <v>108</v>
      </c>
      <c r="C307" s="7">
        <v>2</v>
      </c>
      <c r="D307" s="7">
        <v>5</v>
      </c>
      <c r="E307" s="4">
        <v>1253</v>
      </c>
      <c r="F307" s="71">
        <f t="shared" si="24"/>
        <v>2506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4">
        <f t="shared" si="25"/>
        <v>2506</v>
      </c>
      <c r="R307" s="7"/>
      <c r="S307" s="4">
        <f t="shared" si="26"/>
        <v>30072</v>
      </c>
    </row>
    <row r="308" spans="1:19" ht="12" customHeight="1">
      <c r="A308" s="7"/>
      <c r="B308" s="31" t="s">
        <v>388</v>
      </c>
      <c r="C308" s="7">
        <v>4</v>
      </c>
      <c r="D308" s="7">
        <v>6</v>
      </c>
      <c r="E308" s="4">
        <v>1263</v>
      </c>
      <c r="F308" s="71">
        <f t="shared" si="24"/>
        <v>5052</v>
      </c>
      <c r="G308" s="7"/>
      <c r="H308" s="7"/>
      <c r="I308" s="4"/>
      <c r="J308" s="7"/>
      <c r="K308" s="7"/>
      <c r="L308" s="7"/>
      <c r="M308" s="7"/>
      <c r="N308" s="7"/>
      <c r="O308" s="7"/>
      <c r="P308" s="4"/>
      <c r="Q308" s="4">
        <f t="shared" si="25"/>
        <v>5052</v>
      </c>
      <c r="R308" s="7"/>
      <c r="S308" s="4">
        <f t="shared" si="26"/>
        <v>60624</v>
      </c>
    </row>
    <row r="309" spans="1:19" ht="12" customHeight="1">
      <c r="A309" s="7"/>
      <c r="B309" s="31" t="s">
        <v>202</v>
      </c>
      <c r="C309" s="7">
        <v>1</v>
      </c>
      <c r="D309" s="7">
        <v>6</v>
      </c>
      <c r="E309" s="4">
        <v>1263</v>
      </c>
      <c r="F309" s="71">
        <f t="shared" si="24"/>
        <v>1263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4">
        <f t="shared" si="25"/>
        <v>1263</v>
      </c>
      <c r="R309" s="7"/>
      <c r="S309" s="4">
        <f t="shared" si="26"/>
        <v>15156</v>
      </c>
    </row>
    <row r="310" spans="1:19" ht="12.75" customHeight="1">
      <c r="A310" s="7"/>
      <c r="B310" s="31" t="s">
        <v>429</v>
      </c>
      <c r="C310" s="7">
        <v>1</v>
      </c>
      <c r="D310" s="7">
        <v>5</v>
      </c>
      <c r="E310" s="4">
        <v>1253</v>
      </c>
      <c r="F310" s="71">
        <f t="shared" si="24"/>
        <v>1253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4">
        <f t="shared" si="25"/>
        <v>1253</v>
      </c>
      <c r="R310" s="7"/>
      <c r="S310" s="4">
        <f t="shared" si="26"/>
        <v>15036</v>
      </c>
    </row>
    <row r="311" spans="1:19" ht="12.75" customHeight="1">
      <c r="A311" s="10"/>
      <c r="B311" s="26" t="s">
        <v>40</v>
      </c>
      <c r="C311" s="10">
        <f>SUM(C303:C310)</f>
        <v>13</v>
      </c>
      <c r="D311" s="10"/>
      <c r="E311" s="10"/>
      <c r="F311" s="72">
        <f>SUM(F303:F310)</f>
        <v>17473</v>
      </c>
      <c r="G311" s="10"/>
      <c r="H311" s="10"/>
      <c r="I311" s="11"/>
      <c r="J311" s="11"/>
      <c r="K311" s="11"/>
      <c r="L311" s="11"/>
      <c r="M311" s="11"/>
      <c r="N311" s="11"/>
      <c r="O311" s="11"/>
      <c r="P311" s="11"/>
      <c r="Q311" s="11">
        <f>SUM(Q303:Q310)</f>
        <v>17473</v>
      </c>
      <c r="R311" s="11">
        <f>SUM(R303:R310)</f>
        <v>0</v>
      </c>
      <c r="S311" s="11">
        <f>SUM(S303:S310)</f>
        <v>209676</v>
      </c>
    </row>
    <row r="312" spans="1:19" ht="12.75" customHeight="1">
      <c r="A312" s="7" t="s">
        <v>10</v>
      </c>
      <c r="B312" s="2" t="s">
        <v>273</v>
      </c>
      <c r="C312" s="3"/>
      <c r="D312" s="3"/>
      <c r="E312" s="5"/>
      <c r="F312" s="73"/>
      <c r="G312" s="3"/>
      <c r="H312" s="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2.75" customHeight="1">
      <c r="A313" s="7"/>
      <c r="B313" s="31" t="s">
        <v>165</v>
      </c>
      <c r="C313" s="7">
        <v>1</v>
      </c>
      <c r="D313" s="7">
        <v>6</v>
      </c>
      <c r="E313" s="4">
        <v>1263</v>
      </c>
      <c r="F313" s="71">
        <f>E313*C313</f>
        <v>1263</v>
      </c>
      <c r="G313" s="7"/>
      <c r="H313" s="7"/>
      <c r="I313" s="4"/>
      <c r="J313" s="4"/>
      <c r="K313" s="4"/>
      <c r="L313" s="4"/>
      <c r="M313" s="4"/>
      <c r="N313" s="4"/>
      <c r="O313" s="4"/>
      <c r="P313" s="4"/>
      <c r="Q313" s="4">
        <f>E313*C313+SUM(G313:O313)</f>
        <v>1263</v>
      </c>
      <c r="R313" s="4"/>
      <c r="S313" s="4">
        <f>Q313*$R$17</f>
        <v>15156</v>
      </c>
    </row>
    <row r="314" spans="1:19" ht="12.75" customHeight="1">
      <c r="A314" s="10"/>
      <c r="B314" s="26" t="s">
        <v>40</v>
      </c>
      <c r="C314" s="10">
        <f>SUM(C312:C313)</f>
        <v>1</v>
      </c>
      <c r="D314" s="10"/>
      <c r="E314" s="10"/>
      <c r="F314" s="72">
        <f>SUM(F312:F313)</f>
        <v>1263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>
        <f>SUM(Q312:Q313)</f>
        <v>1263</v>
      </c>
      <c r="R314" s="10">
        <f>SUM(R312:R313)</f>
        <v>0</v>
      </c>
      <c r="S314" s="10">
        <f>SUM(S312:S313)</f>
        <v>15156</v>
      </c>
    </row>
    <row r="315" spans="1:19" ht="12.75" customHeight="1">
      <c r="A315" s="3" t="s">
        <v>13</v>
      </c>
      <c r="B315" s="2" t="s">
        <v>193</v>
      </c>
      <c r="C315" s="3"/>
      <c r="D315" s="3"/>
      <c r="E315" s="5"/>
      <c r="F315" s="7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</row>
    <row r="316" spans="1:19" ht="12.75" customHeight="1">
      <c r="A316" s="8"/>
      <c r="B316" s="27" t="s">
        <v>194</v>
      </c>
      <c r="C316" s="8">
        <v>1</v>
      </c>
      <c r="D316" s="8">
        <v>5</v>
      </c>
      <c r="E316" s="9">
        <v>1253</v>
      </c>
      <c r="F316" s="71">
        <f>E316*C316</f>
        <v>1253</v>
      </c>
      <c r="G316" s="8"/>
      <c r="H316" s="8"/>
      <c r="I316" s="8"/>
      <c r="J316" s="8"/>
      <c r="K316" s="8"/>
      <c r="L316" s="8"/>
      <c r="M316" s="8"/>
      <c r="N316" s="8"/>
      <c r="O316" s="8"/>
      <c r="P316" s="7"/>
      <c r="Q316" s="4">
        <f>E316*C316+SUM(G316:O316)</f>
        <v>1253</v>
      </c>
      <c r="R316" s="8"/>
      <c r="S316" s="9">
        <f>Q316*$R$17</f>
        <v>15036</v>
      </c>
    </row>
    <row r="317" spans="1:19" ht="12.75" customHeight="1">
      <c r="A317" s="8"/>
      <c r="B317" s="26" t="s">
        <v>40</v>
      </c>
      <c r="C317" s="10">
        <f>SUM(C316)</f>
        <v>1</v>
      </c>
      <c r="D317" s="10"/>
      <c r="E317" s="11"/>
      <c r="F317" s="72">
        <f>SUM(F316)</f>
        <v>1253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>
        <f>SUM(Q316)</f>
        <v>1253</v>
      </c>
      <c r="R317" s="11">
        <f>SUM(R316)</f>
        <v>0</v>
      </c>
      <c r="S317" s="11">
        <f>SUM(S316)</f>
        <v>15036</v>
      </c>
    </row>
    <row r="318" spans="1:19" ht="12.75" customHeight="1">
      <c r="A318" s="3" t="s">
        <v>19</v>
      </c>
      <c r="B318" s="2" t="s">
        <v>467</v>
      </c>
      <c r="C318" s="3"/>
      <c r="D318" s="3"/>
      <c r="E318" s="5"/>
      <c r="F318" s="7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</row>
    <row r="319" spans="1:19" ht="12.75" customHeight="1">
      <c r="A319" s="7"/>
      <c r="B319" s="31" t="s">
        <v>109</v>
      </c>
      <c r="C319" s="7">
        <v>8</v>
      </c>
      <c r="D319" s="7">
        <v>5</v>
      </c>
      <c r="E319" s="4">
        <v>1253</v>
      </c>
      <c r="F319" s="71">
        <f>E319*C319</f>
        <v>10024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4">
        <f>E319*C319+SUM(G319:O319)</f>
        <v>10024</v>
      </c>
      <c r="R319" s="7"/>
      <c r="S319" s="4">
        <f>Q319*$R$17</f>
        <v>120288</v>
      </c>
    </row>
    <row r="320" spans="1:19" ht="12.75" customHeight="1">
      <c r="A320" s="8"/>
      <c r="B320" s="27" t="s">
        <v>395</v>
      </c>
      <c r="C320" s="8">
        <v>8.5</v>
      </c>
      <c r="D320" s="8">
        <v>4</v>
      </c>
      <c r="E320" s="8">
        <v>1243</v>
      </c>
      <c r="F320" s="74">
        <f>E320*C320</f>
        <v>10565.5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4">
        <f>E320*C320+SUM(G320:O320)</f>
        <v>10565.5</v>
      </c>
      <c r="R320" s="7"/>
      <c r="S320" s="4">
        <f>Q320*$R$17</f>
        <v>126786</v>
      </c>
    </row>
    <row r="321" spans="1:19" ht="12.75" customHeight="1">
      <c r="A321" s="10"/>
      <c r="B321" s="26" t="s">
        <v>40</v>
      </c>
      <c r="C321" s="10">
        <f>SUM(C319:C320)</f>
        <v>16.5</v>
      </c>
      <c r="D321" s="10"/>
      <c r="E321" s="11"/>
      <c r="F321" s="72">
        <f>SUM(F319:F320)</f>
        <v>20589.5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>
        <f>SUM(Q319:Q320)</f>
        <v>20589.5</v>
      </c>
      <c r="R321" s="10">
        <f>SUM(R319:R320)</f>
        <v>0</v>
      </c>
      <c r="S321" s="10">
        <f>SUM(S319:S320)</f>
        <v>247074</v>
      </c>
    </row>
    <row r="322" spans="1:19" ht="12.75" customHeight="1">
      <c r="A322" s="3" t="s">
        <v>20</v>
      </c>
      <c r="B322" s="40" t="s">
        <v>111</v>
      </c>
      <c r="C322" s="3"/>
      <c r="D322" s="3"/>
      <c r="E322" s="5"/>
      <c r="F322" s="7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</row>
    <row r="323" spans="1:19" ht="12.75" customHeight="1">
      <c r="A323" s="7"/>
      <c r="B323" s="31" t="s">
        <v>96</v>
      </c>
      <c r="C323" s="7">
        <v>1</v>
      </c>
      <c r="D323" s="7">
        <v>11</v>
      </c>
      <c r="E323" s="4">
        <v>1678</v>
      </c>
      <c r="F323" s="71">
        <f>E323*C323</f>
        <v>1678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4">
        <f>E323*C323+SUM(G323:O323)</f>
        <v>1678</v>
      </c>
      <c r="R323" s="7"/>
      <c r="S323" s="4">
        <f>Q323*$R$17</f>
        <v>20136</v>
      </c>
    </row>
    <row r="324" spans="1:19" ht="12.75" customHeight="1">
      <c r="A324" s="7"/>
      <c r="B324" s="31" t="s">
        <v>46</v>
      </c>
      <c r="C324" s="7">
        <v>1</v>
      </c>
      <c r="D324" s="7">
        <v>9</v>
      </c>
      <c r="E324" s="4">
        <v>1474</v>
      </c>
      <c r="F324" s="71">
        <f>E324*C324</f>
        <v>1474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4">
        <f>E324*C324+SUM(G324:O324)</f>
        <v>1474</v>
      </c>
      <c r="R324" s="7"/>
      <c r="S324" s="4">
        <f>Q324*$R$17</f>
        <v>17688</v>
      </c>
    </row>
    <row r="325" spans="1:19" ht="12.75" customHeight="1">
      <c r="A325" s="7"/>
      <c r="B325" s="31" t="s">
        <v>55</v>
      </c>
      <c r="C325" s="7">
        <v>4</v>
      </c>
      <c r="D325" s="7">
        <v>7</v>
      </c>
      <c r="E325" s="4">
        <v>1312</v>
      </c>
      <c r="F325" s="71">
        <f>E325*C325</f>
        <v>5248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4">
        <f>E325*C325+SUM(G325:O325)</f>
        <v>5248</v>
      </c>
      <c r="R325" s="7"/>
      <c r="S325" s="4">
        <f>Q325*$R$17</f>
        <v>62976</v>
      </c>
    </row>
    <row r="326" spans="1:19" ht="12.75" customHeight="1">
      <c r="A326" s="7"/>
      <c r="B326" s="31" t="s">
        <v>281</v>
      </c>
      <c r="C326" s="7">
        <v>1</v>
      </c>
      <c r="D326" s="7">
        <v>5</v>
      </c>
      <c r="E326" s="4">
        <v>1253</v>
      </c>
      <c r="F326" s="71">
        <f>E326*C326</f>
        <v>1253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4">
        <f>E326*C326+SUM(G326:O326)</f>
        <v>1253</v>
      </c>
      <c r="R326" s="7"/>
      <c r="S326" s="4">
        <f>Q326*$R$17</f>
        <v>15036</v>
      </c>
    </row>
    <row r="327" spans="1:19" ht="24.75" customHeight="1">
      <c r="A327" s="7"/>
      <c r="B327" s="31" t="s">
        <v>373</v>
      </c>
      <c r="C327" s="7">
        <v>2</v>
      </c>
      <c r="D327" s="7">
        <v>5</v>
      </c>
      <c r="E327" s="4">
        <v>1253</v>
      </c>
      <c r="F327" s="71">
        <f>E327*C327</f>
        <v>2506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4">
        <f>E327*C327+SUM(G327:O327)</f>
        <v>2506</v>
      </c>
      <c r="R327" s="7"/>
      <c r="S327" s="4">
        <f>Q327*$R$17</f>
        <v>30072</v>
      </c>
    </row>
    <row r="328" spans="1:19" ht="36" customHeight="1">
      <c r="A328" s="7"/>
      <c r="B328" s="31" t="s">
        <v>504</v>
      </c>
      <c r="C328" s="7"/>
      <c r="D328" s="7"/>
      <c r="E328" s="7"/>
      <c r="F328" s="7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" customHeight="1">
      <c r="A329" s="7"/>
      <c r="B329" s="31" t="s">
        <v>212</v>
      </c>
      <c r="C329" s="7">
        <f>7+1</f>
        <v>8</v>
      </c>
      <c r="D329" s="7">
        <v>2</v>
      </c>
      <c r="E329" s="7">
        <v>1223</v>
      </c>
      <c r="F329" s="71">
        <f aca="true" t="shared" si="27" ref="F329:F334">E329*C329</f>
        <v>9784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4">
        <f aca="true" t="shared" si="28" ref="Q329:Q334">E329*C329+SUM(G329:O329)</f>
        <v>9784</v>
      </c>
      <c r="R329" s="7"/>
      <c r="S329" s="4">
        <f aca="true" t="shared" si="29" ref="S329:S334">Q329*$R$17</f>
        <v>117408</v>
      </c>
    </row>
    <row r="330" spans="1:19" ht="12" customHeight="1">
      <c r="A330" s="7"/>
      <c r="B330" s="121" t="s">
        <v>213</v>
      </c>
      <c r="C330" s="7">
        <f>7.5+1</f>
        <v>8.5</v>
      </c>
      <c r="D330" s="7">
        <v>2</v>
      </c>
      <c r="E330" s="7">
        <v>1223</v>
      </c>
      <c r="F330" s="71">
        <f t="shared" si="27"/>
        <v>10395.5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4">
        <f t="shared" si="28"/>
        <v>10395.5</v>
      </c>
      <c r="R330" s="7"/>
      <c r="S330" s="4">
        <f t="shared" si="29"/>
        <v>124746</v>
      </c>
    </row>
    <row r="331" spans="1:19" ht="12" customHeight="1">
      <c r="A331" s="7"/>
      <c r="B331" s="121" t="s">
        <v>214</v>
      </c>
      <c r="C331" s="7">
        <f>1+1</f>
        <v>2</v>
      </c>
      <c r="D331" s="7">
        <v>2</v>
      </c>
      <c r="E331" s="7">
        <v>1223</v>
      </c>
      <c r="F331" s="71">
        <f t="shared" si="27"/>
        <v>2446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4">
        <f t="shared" si="28"/>
        <v>2446</v>
      </c>
      <c r="R331" s="7"/>
      <c r="S331" s="4">
        <f t="shared" si="29"/>
        <v>29352</v>
      </c>
    </row>
    <row r="332" spans="1:19" ht="24" customHeight="1">
      <c r="A332" s="7"/>
      <c r="B332" s="31" t="s">
        <v>505</v>
      </c>
      <c r="C332" s="7">
        <v>1</v>
      </c>
      <c r="D332" s="7">
        <v>2</v>
      </c>
      <c r="E332" s="7">
        <v>1223</v>
      </c>
      <c r="F332" s="71">
        <f t="shared" si="27"/>
        <v>1223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4">
        <f t="shared" si="28"/>
        <v>1223</v>
      </c>
      <c r="R332" s="7"/>
      <c r="S332" s="4">
        <f t="shared" si="29"/>
        <v>14676</v>
      </c>
    </row>
    <row r="333" spans="1:19" ht="36" customHeight="1">
      <c r="A333" s="7"/>
      <c r="B333" s="31" t="s">
        <v>489</v>
      </c>
      <c r="C333" s="7">
        <v>8</v>
      </c>
      <c r="D333" s="7">
        <v>2</v>
      </c>
      <c r="E333" s="7">
        <v>1223</v>
      </c>
      <c r="F333" s="71">
        <f t="shared" si="27"/>
        <v>9784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4">
        <f t="shared" si="28"/>
        <v>9784</v>
      </c>
      <c r="R333" s="7"/>
      <c r="S333" s="4">
        <f t="shared" si="29"/>
        <v>117408</v>
      </c>
    </row>
    <row r="334" spans="1:19" ht="12" customHeight="1">
      <c r="A334" s="7"/>
      <c r="B334" s="27" t="s">
        <v>358</v>
      </c>
      <c r="C334" s="8">
        <v>5</v>
      </c>
      <c r="D334" s="7">
        <v>1</v>
      </c>
      <c r="E334" s="7">
        <v>1218</v>
      </c>
      <c r="F334" s="71">
        <f t="shared" si="27"/>
        <v>6090</v>
      </c>
      <c r="G334" s="8"/>
      <c r="H334" s="8"/>
      <c r="I334" s="8"/>
      <c r="J334" s="8"/>
      <c r="K334" s="8"/>
      <c r="L334" s="8"/>
      <c r="M334" s="8"/>
      <c r="N334" s="8"/>
      <c r="O334" s="8"/>
      <c r="P334" s="7"/>
      <c r="Q334" s="4">
        <f t="shared" si="28"/>
        <v>6090</v>
      </c>
      <c r="R334" s="7"/>
      <c r="S334" s="4">
        <f t="shared" si="29"/>
        <v>73080</v>
      </c>
    </row>
    <row r="335" spans="1:19" ht="12" customHeight="1">
      <c r="A335" s="10"/>
      <c r="B335" s="26" t="s">
        <v>40</v>
      </c>
      <c r="C335" s="10">
        <f>SUM(C323:C334)</f>
        <v>41.5</v>
      </c>
      <c r="D335" s="10"/>
      <c r="E335" s="10"/>
      <c r="F335" s="72">
        <f>SUM(F323:F334)</f>
        <v>51881.5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>
        <f>SUM(Q323:Q334)</f>
        <v>51881.5</v>
      </c>
      <c r="R335" s="10">
        <f>SUM(R323:R334)</f>
        <v>0</v>
      </c>
      <c r="S335" s="10">
        <f>SUM(S323:S334)</f>
        <v>622578</v>
      </c>
    </row>
    <row r="336" spans="1:19" ht="12" customHeight="1">
      <c r="A336" s="3" t="s">
        <v>21</v>
      </c>
      <c r="B336" s="2" t="s">
        <v>385</v>
      </c>
      <c r="C336" s="3"/>
      <c r="D336" s="3"/>
      <c r="E336" s="5"/>
      <c r="F336" s="7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</row>
    <row r="337" spans="1:19" ht="12" customHeight="1">
      <c r="A337" s="7"/>
      <c r="B337" s="31" t="s">
        <v>96</v>
      </c>
      <c r="C337" s="7">
        <v>1</v>
      </c>
      <c r="D337" s="7">
        <v>9</v>
      </c>
      <c r="E337" s="4">
        <v>1474</v>
      </c>
      <c r="F337" s="71">
        <f>E337*C337</f>
        <v>1474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4">
        <f>E337*C337+SUM(G337:O337)</f>
        <v>1474</v>
      </c>
      <c r="R337" s="7"/>
      <c r="S337" s="4">
        <f>Q337*$R$17</f>
        <v>17688</v>
      </c>
    </row>
    <row r="338" spans="1:19" ht="12" customHeight="1">
      <c r="A338" s="7"/>
      <c r="B338" s="31" t="s">
        <v>490</v>
      </c>
      <c r="C338" s="7">
        <v>1</v>
      </c>
      <c r="D338" s="7">
        <v>7</v>
      </c>
      <c r="E338" s="4">
        <v>1312</v>
      </c>
      <c r="F338" s="71">
        <f>E338*C338</f>
        <v>1312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4">
        <f>E338*C338+SUM(G338:O338)</f>
        <v>1312</v>
      </c>
      <c r="R338" s="7"/>
      <c r="S338" s="4">
        <f>Q338*$R$17</f>
        <v>15744</v>
      </c>
    </row>
    <row r="339" spans="1:19" ht="12" customHeight="1">
      <c r="A339" s="7"/>
      <c r="B339" s="31" t="s">
        <v>113</v>
      </c>
      <c r="C339" s="7">
        <v>1</v>
      </c>
      <c r="D339" s="7">
        <v>5</v>
      </c>
      <c r="E339" s="4">
        <v>1253</v>
      </c>
      <c r="F339" s="71">
        <f>E339*C339</f>
        <v>1253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4">
        <f>E339*C339+SUM(G339:O339)</f>
        <v>1253</v>
      </c>
      <c r="R339" s="7"/>
      <c r="S339" s="4">
        <f>Q339*$R$17</f>
        <v>15036</v>
      </c>
    </row>
    <row r="340" spans="1:19" ht="12" customHeight="1">
      <c r="A340" s="8"/>
      <c r="B340" s="27" t="s">
        <v>114</v>
      </c>
      <c r="C340" s="8">
        <v>1</v>
      </c>
      <c r="D340" s="8">
        <v>1</v>
      </c>
      <c r="E340" s="9">
        <v>1218</v>
      </c>
      <c r="F340" s="71">
        <f>E340*C340</f>
        <v>1218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4">
        <f>E340*C340+SUM(G340:O340)</f>
        <v>1218</v>
      </c>
      <c r="R340" s="7"/>
      <c r="S340" s="4">
        <f>Q340*$R$17</f>
        <v>14616</v>
      </c>
    </row>
    <row r="341" spans="1:19" ht="12" customHeight="1">
      <c r="A341" s="10"/>
      <c r="B341" s="26" t="s">
        <v>40</v>
      </c>
      <c r="C341" s="10">
        <f>SUM(C337:C340)</f>
        <v>4</v>
      </c>
      <c r="D341" s="10"/>
      <c r="E341" s="11"/>
      <c r="F341" s="72">
        <f>SUM(F337:F340)</f>
        <v>5257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>
        <f>SUM(Q337:Q340)</f>
        <v>5257</v>
      </c>
      <c r="R341" s="11">
        <f>SUM(R337:R340)</f>
        <v>0</v>
      </c>
      <c r="S341" s="11">
        <f>SUM(S337:S340)</f>
        <v>63084</v>
      </c>
    </row>
    <row r="342" spans="1:19" ht="12" customHeight="1">
      <c r="A342" s="3" t="s">
        <v>22</v>
      </c>
      <c r="B342" s="2" t="s">
        <v>115</v>
      </c>
      <c r="C342" s="3"/>
      <c r="D342" s="3"/>
      <c r="E342" s="5"/>
      <c r="F342" s="7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</row>
    <row r="343" spans="1:19" ht="12" customHeight="1">
      <c r="A343" s="7"/>
      <c r="B343" s="31" t="s">
        <v>116</v>
      </c>
      <c r="C343" s="7">
        <v>1</v>
      </c>
      <c r="D343" s="54"/>
      <c r="E343" s="4">
        <f>(1678+1806)/2</f>
        <v>1742</v>
      </c>
      <c r="F343" s="57">
        <f>E343*C343</f>
        <v>1742</v>
      </c>
      <c r="G343" s="4"/>
      <c r="H343" s="7"/>
      <c r="I343" s="7"/>
      <c r="J343" s="7"/>
      <c r="K343" s="7"/>
      <c r="L343" s="7"/>
      <c r="M343" s="7"/>
      <c r="N343" s="7"/>
      <c r="O343" s="7"/>
      <c r="P343" s="7"/>
      <c r="Q343" s="4">
        <f>E343*C343+SUM(G343:O343)</f>
        <v>1742</v>
      </c>
      <c r="R343" s="7"/>
      <c r="S343" s="4">
        <f>Q343*$R$17</f>
        <v>20904</v>
      </c>
    </row>
    <row r="344" spans="1:19" ht="12" customHeight="1">
      <c r="A344" s="7"/>
      <c r="B344" s="31" t="s">
        <v>266</v>
      </c>
      <c r="C344" s="7">
        <v>1</v>
      </c>
      <c r="D344" s="7">
        <v>9</v>
      </c>
      <c r="E344" s="4">
        <v>1474</v>
      </c>
      <c r="F344" s="71">
        <f>E344*C344</f>
        <v>1474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4">
        <f>E344*C344+SUM(G344:O344)</f>
        <v>1474</v>
      </c>
      <c r="R344" s="7"/>
      <c r="S344" s="4">
        <f>Q344*$R$17</f>
        <v>17688</v>
      </c>
    </row>
    <row r="345" spans="1:19" ht="12" customHeight="1">
      <c r="A345" s="7"/>
      <c r="B345" s="31" t="s">
        <v>491</v>
      </c>
      <c r="C345" s="7">
        <v>6</v>
      </c>
      <c r="D345" s="7">
        <v>5</v>
      </c>
      <c r="E345" s="4">
        <v>1253</v>
      </c>
      <c r="F345" s="71">
        <f>E345*C345</f>
        <v>7518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4">
        <f>E345*C345+SUM(G345:O345)</f>
        <v>7518</v>
      </c>
      <c r="R345" s="7"/>
      <c r="S345" s="4">
        <f>Q345*$R$17</f>
        <v>90216</v>
      </c>
    </row>
    <row r="346" spans="1:19" ht="12" customHeight="1">
      <c r="A346" s="7"/>
      <c r="B346" s="31" t="s">
        <v>117</v>
      </c>
      <c r="C346" s="7">
        <v>1</v>
      </c>
      <c r="D346" s="7">
        <v>4</v>
      </c>
      <c r="E346" s="4">
        <v>1243</v>
      </c>
      <c r="F346" s="71">
        <f>E346*C346</f>
        <v>1243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4">
        <f>E346*C346+SUM(G346:O346)</f>
        <v>1243</v>
      </c>
      <c r="R346" s="7"/>
      <c r="S346" s="4">
        <f>Q346*$R$17</f>
        <v>14916</v>
      </c>
    </row>
    <row r="347" spans="1:19" ht="12" customHeight="1">
      <c r="A347" s="8"/>
      <c r="B347" s="27" t="s">
        <v>356</v>
      </c>
      <c r="C347" s="8">
        <v>1</v>
      </c>
      <c r="D347" s="8">
        <v>4</v>
      </c>
      <c r="E347" s="8">
        <v>1243</v>
      </c>
      <c r="F347" s="71">
        <f>E347*C347</f>
        <v>1243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4">
        <f>E347*C347+SUM(G347:O347)</f>
        <v>1243</v>
      </c>
      <c r="R347" s="7"/>
      <c r="S347" s="4">
        <f>Q347*$R$17</f>
        <v>14916</v>
      </c>
    </row>
    <row r="348" spans="1:19" ht="12" customHeight="1">
      <c r="A348" s="10"/>
      <c r="B348" s="26" t="s">
        <v>40</v>
      </c>
      <c r="C348" s="10">
        <f>SUM(C343:C347)</f>
        <v>10</v>
      </c>
      <c r="D348" s="10"/>
      <c r="E348" s="10"/>
      <c r="F348" s="72">
        <f>SUM(F343:F347)</f>
        <v>13220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>
        <f>SUM(Q343:Q347)</f>
        <v>13220</v>
      </c>
      <c r="R348" s="10">
        <f>SUM(R343:R347)</f>
        <v>0</v>
      </c>
      <c r="S348" s="10">
        <f>SUM(S343:S347)</f>
        <v>158640</v>
      </c>
    </row>
    <row r="349" spans="1:19" ht="12.75" customHeight="1">
      <c r="A349" s="3" t="s">
        <v>23</v>
      </c>
      <c r="B349" s="2" t="s">
        <v>118</v>
      </c>
      <c r="C349" s="3"/>
      <c r="D349" s="3"/>
      <c r="E349" s="5"/>
      <c r="F349" s="7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</row>
    <row r="350" spans="1:19" ht="12.75" customHeight="1">
      <c r="A350" s="7"/>
      <c r="B350" s="31" t="s">
        <v>96</v>
      </c>
      <c r="C350" s="7">
        <v>1</v>
      </c>
      <c r="D350" s="7">
        <v>13</v>
      </c>
      <c r="E350" s="4">
        <v>1934</v>
      </c>
      <c r="F350" s="71">
        <f>E350*C350</f>
        <v>1934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4">
        <f>E350*C350+SUM(G350:O350)</f>
        <v>1934</v>
      </c>
      <c r="R350" s="7"/>
      <c r="S350" s="4">
        <f>Q350*$R$17</f>
        <v>23208</v>
      </c>
    </row>
    <row r="351" spans="1:19" ht="12.75" customHeight="1">
      <c r="A351" s="7"/>
      <c r="B351" s="31" t="s">
        <v>191</v>
      </c>
      <c r="C351" s="7">
        <v>2</v>
      </c>
      <c r="D351" s="7">
        <v>10</v>
      </c>
      <c r="E351" s="4">
        <v>1551</v>
      </c>
      <c r="F351" s="71">
        <f>E351*C351</f>
        <v>3102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4">
        <f>E351*C351+SUM(G351:O351)</f>
        <v>3102</v>
      </c>
      <c r="R351" s="7"/>
      <c r="S351" s="4">
        <f>Q351*$R$17</f>
        <v>37224</v>
      </c>
    </row>
    <row r="352" spans="1:19" ht="12.75" customHeight="1">
      <c r="A352" s="7"/>
      <c r="B352" s="31" t="s">
        <v>550</v>
      </c>
      <c r="C352" s="7">
        <v>1</v>
      </c>
      <c r="D352" s="7">
        <v>9</v>
      </c>
      <c r="E352" s="4">
        <v>1474</v>
      </c>
      <c r="F352" s="71">
        <f>E352*C352</f>
        <v>1474</v>
      </c>
      <c r="G352" s="7"/>
      <c r="H352" s="4"/>
      <c r="I352" s="4"/>
      <c r="J352" s="7"/>
      <c r="K352" s="7"/>
      <c r="L352" s="7"/>
      <c r="M352" s="7"/>
      <c r="N352" s="7"/>
      <c r="O352" s="7"/>
      <c r="P352" s="7"/>
      <c r="Q352" s="4">
        <f>E352*C352+SUM(G352:O352)</f>
        <v>1474</v>
      </c>
      <c r="R352" s="7"/>
      <c r="S352" s="4">
        <f>Q352*$R$17</f>
        <v>17688</v>
      </c>
    </row>
    <row r="353" spans="1:19" ht="12.75" customHeight="1">
      <c r="A353" s="10"/>
      <c r="B353" s="26" t="s">
        <v>40</v>
      </c>
      <c r="C353" s="10">
        <f>SUM(C350:C352)</f>
        <v>4</v>
      </c>
      <c r="D353" s="10"/>
      <c r="E353" s="11"/>
      <c r="F353" s="72">
        <f>SUM(F350:F352)</f>
        <v>6510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>
        <f>SUM(Q350:Q352)</f>
        <v>6510</v>
      </c>
      <c r="R353" s="11">
        <f>SUM(R350:R352)</f>
        <v>0</v>
      </c>
      <c r="S353" s="11">
        <f>SUM(S350:S352)</f>
        <v>78120</v>
      </c>
    </row>
    <row r="354" spans="1:19" ht="12.75" customHeight="1">
      <c r="A354" s="3" t="s">
        <v>25</v>
      </c>
      <c r="B354" s="2" t="s">
        <v>334</v>
      </c>
      <c r="C354" s="3"/>
      <c r="D354" s="3"/>
      <c r="E354" s="5"/>
      <c r="F354" s="7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 customHeight="1">
      <c r="A355" s="7"/>
      <c r="B355" s="31" t="s">
        <v>569</v>
      </c>
      <c r="C355" s="7">
        <v>2</v>
      </c>
      <c r="D355" s="7"/>
      <c r="E355" s="4">
        <v>3177</v>
      </c>
      <c r="F355" s="71">
        <f aca="true" t="shared" si="30" ref="F355:F360">E355*C355</f>
        <v>6354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4">
        <f aca="true" t="shared" si="31" ref="Q355:Q360">E355*C355+SUM(G355:O355)</f>
        <v>6354</v>
      </c>
      <c r="R355" s="7"/>
      <c r="S355" s="4">
        <f aca="true" t="shared" si="32" ref="S355:S360">Q355*$R$17</f>
        <v>76248</v>
      </c>
    </row>
    <row r="356" spans="1:19" ht="12.75" customHeight="1">
      <c r="A356" s="7"/>
      <c r="B356" s="31" t="s">
        <v>570</v>
      </c>
      <c r="C356" s="7">
        <v>5</v>
      </c>
      <c r="D356" s="7">
        <v>10</v>
      </c>
      <c r="E356" s="4">
        <v>1551</v>
      </c>
      <c r="F356" s="71">
        <f t="shared" si="30"/>
        <v>7755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4">
        <f t="shared" si="31"/>
        <v>7755</v>
      </c>
      <c r="R356" s="7"/>
      <c r="S356" s="4">
        <f t="shared" si="32"/>
        <v>93060</v>
      </c>
    </row>
    <row r="357" spans="1:19" ht="12.75" customHeight="1">
      <c r="A357" s="7"/>
      <c r="B357" s="31" t="s">
        <v>571</v>
      </c>
      <c r="C357" s="7">
        <v>1</v>
      </c>
      <c r="D357" s="7">
        <v>9</v>
      </c>
      <c r="E357" s="4">
        <v>1474</v>
      </c>
      <c r="F357" s="71">
        <f t="shared" si="30"/>
        <v>1474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4">
        <f t="shared" si="31"/>
        <v>1474</v>
      </c>
      <c r="R357" s="7"/>
      <c r="S357" s="4">
        <f t="shared" si="32"/>
        <v>17688</v>
      </c>
    </row>
    <row r="358" spans="1:19" ht="12.75" customHeight="1">
      <c r="A358" s="7"/>
      <c r="B358" s="31" t="s">
        <v>572</v>
      </c>
      <c r="C358" s="7">
        <v>2</v>
      </c>
      <c r="D358" s="7">
        <v>8</v>
      </c>
      <c r="E358" s="4">
        <v>1397</v>
      </c>
      <c r="F358" s="71">
        <f t="shared" si="30"/>
        <v>2794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4">
        <f t="shared" si="31"/>
        <v>2794</v>
      </c>
      <c r="R358" s="7"/>
      <c r="S358" s="4">
        <f t="shared" si="32"/>
        <v>33528</v>
      </c>
    </row>
    <row r="359" spans="1:19" ht="12.75" customHeight="1">
      <c r="A359" s="7"/>
      <c r="B359" s="31" t="s">
        <v>573</v>
      </c>
      <c r="C359" s="7">
        <v>4.5</v>
      </c>
      <c r="D359" s="7">
        <v>7</v>
      </c>
      <c r="E359" s="4">
        <v>1312</v>
      </c>
      <c r="F359" s="71">
        <f t="shared" si="30"/>
        <v>5904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4">
        <f t="shared" si="31"/>
        <v>5904</v>
      </c>
      <c r="R359" s="7"/>
      <c r="S359" s="4">
        <f t="shared" si="32"/>
        <v>70848</v>
      </c>
    </row>
    <row r="360" spans="1:19" ht="12.75" customHeight="1">
      <c r="A360" s="7"/>
      <c r="B360" s="31" t="s">
        <v>574</v>
      </c>
      <c r="C360" s="7">
        <v>0.5</v>
      </c>
      <c r="D360" s="7">
        <v>5</v>
      </c>
      <c r="E360" s="4">
        <v>1253</v>
      </c>
      <c r="F360" s="113">
        <f t="shared" si="30"/>
        <v>626.5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4">
        <f t="shared" si="31"/>
        <v>626.5</v>
      </c>
      <c r="R360" s="7"/>
      <c r="S360" s="4">
        <f t="shared" si="32"/>
        <v>7518</v>
      </c>
    </row>
    <row r="361" spans="1:19" ht="12.75" customHeight="1">
      <c r="A361" s="10"/>
      <c r="B361" s="26" t="s">
        <v>40</v>
      </c>
      <c r="C361" s="10">
        <f>SUM(C355:C360)</f>
        <v>15</v>
      </c>
      <c r="D361" s="10"/>
      <c r="E361" s="10"/>
      <c r="F361" s="10">
        <f>SUM(F355:F360)</f>
        <v>24907.5</v>
      </c>
      <c r="G361" s="11"/>
      <c r="H361" s="10"/>
      <c r="I361" s="10"/>
      <c r="J361" s="10"/>
      <c r="K361" s="10"/>
      <c r="L361" s="10"/>
      <c r="M361" s="10"/>
      <c r="N361" s="10"/>
      <c r="O361" s="10"/>
      <c r="P361" s="10"/>
      <c r="Q361" s="10">
        <f>SUM(Q355:Q360)</f>
        <v>24907.5</v>
      </c>
      <c r="R361" s="10">
        <f>SUM(R355:R360)</f>
        <v>0</v>
      </c>
      <c r="S361" s="10">
        <f>SUM(S355:S360)</f>
        <v>298890</v>
      </c>
    </row>
    <row r="362" spans="1:19" ht="12.75" customHeight="1">
      <c r="A362" s="3" t="s">
        <v>26</v>
      </c>
      <c r="B362" s="2" t="s">
        <v>120</v>
      </c>
      <c r="C362" s="3"/>
      <c r="D362" s="3"/>
      <c r="E362" s="5"/>
      <c r="F362" s="7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</row>
    <row r="363" spans="1:19" ht="12.75" customHeight="1">
      <c r="A363" s="7"/>
      <c r="B363" s="31" t="s">
        <v>121</v>
      </c>
      <c r="C363" s="7">
        <v>1</v>
      </c>
      <c r="D363" s="7">
        <v>9</v>
      </c>
      <c r="E363" s="4">
        <v>1474</v>
      </c>
      <c r="F363" s="71">
        <f>E363*C363</f>
        <v>1474</v>
      </c>
      <c r="G363" s="7"/>
      <c r="H363" s="4"/>
      <c r="I363" s="4"/>
      <c r="J363" s="4"/>
      <c r="K363" s="4"/>
      <c r="L363" s="7"/>
      <c r="M363" s="7"/>
      <c r="N363" s="7"/>
      <c r="O363" s="7"/>
      <c r="P363" s="7"/>
      <c r="Q363" s="4">
        <f>E363*C363+SUM(G363:O363)</f>
        <v>1474</v>
      </c>
      <c r="R363" s="4"/>
      <c r="S363" s="4">
        <f>Q363*$R$17</f>
        <v>17688</v>
      </c>
    </row>
    <row r="364" spans="1:19" ht="12.75" customHeight="1">
      <c r="A364" s="7"/>
      <c r="B364" s="31" t="s">
        <v>164</v>
      </c>
      <c r="C364" s="7">
        <v>2</v>
      </c>
      <c r="D364" s="7">
        <v>5</v>
      </c>
      <c r="E364" s="4">
        <v>1253</v>
      </c>
      <c r="F364" s="71">
        <f>E364*C364</f>
        <v>2506</v>
      </c>
      <c r="G364" s="7"/>
      <c r="H364" s="4"/>
      <c r="I364" s="4"/>
      <c r="J364" s="4"/>
      <c r="K364" s="4"/>
      <c r="L364" s="7"/>
      <c r="M364" s="7"/>
      <c r="N364" s="7"/>
      <c r="O364" s="7"/>
      <c r="P364" s="7"/>
      <c r="Q364" s="4">
        <f>E364*C364+SUM(G364:O364)</f>
        <v>2506</v>
      </c>
      <c r="R364" s="4"/>
      <c r="S364" s="4">
        <f>Q364*$R$17</f>
        <v>30072</v>
      </c>
    </row>
    <row r="365" spans="1:19" ht="12.75" customHeight="1">
      <c r="A365" s="8"/>
      <c r="B365" s="27" t="s">
        <v>122</v>
      </c>
      <c r="C365" s="8">
        <v>1</v>
      </c>
      <c r="D365" s="8">
        <v>4</v>
      </c>
      <c r="E365" s="9">
        <v>1243</v>
      </c>
      <c r="F365" s="71">
        <f>E365*C365</f>
        <v>1243</v>
      </c>
      <c r="G365" s="8"/>
      <c r="H365" s="9"/>
      <c r="I365" s="9"/>
      <c r="J365" s="9"/>
      <c r="K365" s="9"/>
      <c r="L365" s="8"/>
      <c r="M365" s="8"/>
      <c r="N365" s="8"/>
      <c r="O365" s="8"/>
      <c r="P365" s="7"/>
      <c r="Q365" s="4">
        <f>E365*C365+SUM(G365:O365)</f>
        <v>1243</v>
      </c>
      <c r="R365" s="4"/>
      <c r="S365" s="4">
        <f>Q365*$R$17</f>
        <v>14916</v>
      </c>
    </row>
    <row r="366" spans="1:19" ht="12.75" customHeight="1">
      <c r="A366" s="10"/>
      <c r="B366" s="26" t="s">
        <v>40</v>
      </c>
      <c r="C366" s="10">
        <f>SUM(C363:C365)</f>
        <v>4</v>
      </c>
      <c r="D366" s="10"/>
      <c r="E366" s="11"/>
      <c r="F366" s="72">
        <f>SUM(F363:F365)</f>
        <v>5223</v>
      </c>
      <c r="G366" s="11"/>
      <c r="H366" s="10"/>
      <c r="I366" s="10"/>
      <c r="J366" s="10"/>
      <c r="K366" s="10"/>
      <c r="L366" s="10"/>
      <c r="M366" s="10"/>
      <c r="N366" s="10"/>
      <c r="O366" s="10"/>
      <c r="P366" s="10"/>
      <c r="Q366" s="11">
        <f>SUM(Q363:Q365)</f>
        <v>5223</v>
      </c>
      <c r="R366" s="11">
        <f>SUM(R363:R365)</f>
        <v>0</v>
      </c>
      <c r="S366" s="11">
        <f>SUM(S363:S365)</f>
        <v>62676</v>
      </c>
    </row>
    <row r="367" spans="1:19" ht="12.75" customHeight="1">
      <c r="A367" s="3" t="s">
        <v>28</v>
      </c>
      <c r="B367" s="2" t="s">
        <v>351</v>
      </c>
      <c r="C367" s="3"/>
      <c r="D367" s="3"/>
      <c r="E367" s="5"/>
      <c r="F367" s="7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 customHeight="1">
      <c r="A368" s="7"/>
      <c r="B368" s="31" t="s">
        <v>96</v>
      </c>
      <c r="C368" s="7">
        <v>1</v>
      </c>
      <c r="D368" s="7">
        <v>10</v>
      </c>
      <c r="E368" s="4">
        <v>1551</v>
      </c>
      <c r="F368" s="71">
        <f aca="true" t="shared" si="33" ref="F368:F376">E368*C368</f>
        <v>1551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4">
        <f aca="true" t="shared" si="34" ref="Q368:Q376">E368*C368+SUM(G368:O368)</f>
        <v>1551</v>
      </c>
      <c r="R368" s="7"/>
      <c r="S368" s="4">
        <f aca="true" t="shared" si="35" ref="S368:S376">Q368*$R$17</f>
        <v>18612</v>
      </c>
    </row>
    <row r="369" spans="1:19" ht="12.75" customHeight="1">
      <c r="A369" s="7"/>
      <c r="B369" s="31" t="s">
        <v>506</v>
      </c>
      <c r="C369" s="7">
        <v>1</v>
      </c>
      <c r="D369" s="7">
        <v>7</v>
      </c>
      <c r="E369" s="4">
        <v>1312</v>
      </c>
      <c r="F369" s="71">
        <f t="shared" si="33"/>
        <v>1312</v>
      </c>
      <c r="G369" s="7"/>
      <c r="H369" s="7"/>
      <c r="I369" s="4">
        <f>E369*C369*0.2</f>
        <v>262.40000000000003</v>
      </c>
      <c r="J369" s="4"/>
      <c r="K369" s="4"/>
      <c r="L369" s="4"/>
      <c r="M369" s="4"/>
      <c r="N369" s="4"/>
      <c r="O369" s="4"/>
      <c r="P369" s="4">
        <f>SUM(G369:O369)</f>
        <v>262.40000000000003</v>
      </c>
      <c r="Q369" s="4">
        <f t="shared" si="34"/>
        <v>1574.4</v>
      </c>
      <c r="R369" s="4"/>
      <c r="S369" s="4">
        <f t="shared" si="35"/>
        <v>18892.800000000003</v>
      </c>
    </row>
    <row r="370" spans="1:19" ht="12.75" customHeight="1">
      <c r="A370" s="7"/>
      <c r="B370" s="31" t="s">
        <v>491</v>
      </c>
      <c r="C370" s="7">
        <v>1</v>
      </c>
      <c r="D370" s="7">
        <v>6</v>
      </c>
      <c r="E370" s="7">
        <v>1263</v>
      </c>
      <c r="F370" s="71">
        <f t="shared" si="33"/>
        <v>1263</v>
      </c>
      <c r="G370" s="7"/>
      <c r="H370" s="7"/>
      <c r="I370" s="4"/>
      <c r="J370" s="4"/>
      <c r="K370" s="4"/>
      <c r="L370" s="4"/>
      <c r="M370" s="4"/>
      <c r="N370" s="4"/>
      <c r="O370" s="4"/>
      <c r="P370" s="4"/>
      <c r="Q370" s="4">
        <f t="shared" si="34"/>
        <v>1263</v>
      </c>
      <c r="R370" s="4"/>
      <c r="S370" s="4">
        <f t="shared" si="35"/>
        <v>15156</v>
      </c>
    </row>
    <row r="371" spans="1:19" ht="12.75" customHeight="1">
      <c r="A371" s="7"/>
      <c r="B371" s="55" t="s">
        <v>498</v>
      </c>
      <c r="C371" s="7">
        <v>1</v>
      </c>
      <c r="D371" s="7">
        <v>5</v>
      </c>
      <c r="E371" s="4">
        <v>1253</v>
      </c>
      <c r="F371" s="71">
        <f t="shared" si="33"/>
        <v>1253</v>
      </c>
      <c r="G371" s="7"/>
      <c r="H371" s="7"/>
      <c r="I371" s="4"/>
      <c r="J371" s="4"/>
      <c r="K371" s="4"/>
      <c r="L371" s="4"/>
      <c r="M371" s="4"/>
      <c r="N371" s="4"/>
      <c r="O371" s="4"/>
      <c r="P371" s="4"/>
      <c r="Q371" s="4">
        <f t="shared" si="34"/>
        <v>1253</v>
      </c>
      <c r="R371" s="4"/>
      <c r="S371" s="4">
        <f t="shared" si="35"/>
        <v>15036</v>
      </c>
    </row>
    <row r="372" spans="1:19" ht="12.75" customHeight="1">
      <c r="A372" s="7"/>
      <c r="B372" s="31" t="s">
        <v>352</v>
      </c>
      <c r="C372" s="7">
        <v>1.5</v>
      </c>
      <c r="D372" s="7">
        <v>4</v>
      </c>
      <c r="E372" s="4">
        <v>1243</v>
      </c>
      <c r="F372" s="71">
        <f t="shared" si="33"/>
        <v>1864.5</v>
      </c>
      <c r="G372" s="7"/>
      <c r="H372" s="7"/>
      <c r="I372" s="4"/>
      <c r="J372" s="4"/>
      <c r="K372" s="4"/>
      <c r="L372" s="4"/>
      <c r="M372" s="4"/>
      <c r="N372" s="4"/>
      <c r="O372" s="4"/>
      <c r="P372" s="4"/>
      <c r="Q372" s="4">
        <f t="shared" si="34"/>
        <v>1864.5</v>
      </c>
      <c r="R372" s="4"/>
      <c r="S372" s="4">
        <f t="shared" si="35"/>
        <v>22374</v>
      </c>
    </row>
    <row r="373" spans="1:19" ht="12.75" customHeight="1">
      <c r="A373" s="7"/>
      <c r="B373" s="31" t="s">
        <v>353</v>
      </c>
      <c r="C373" s="7">
        <v>1</v>
      </c>
      <c r="D373" s="7">
        <v>4</v>
      </c>
      <c r="E373" s="4">
        <v>1243</v>
      </c>
      <c r="F373" s="71">
        <f t="shared" si="33"/>
        <v>1243</v>
      </c>
      <c r="G373" s="7"/>
      <c r="H373" s="7"/>
      <c r="I373" s="4"/>
      <c r="J373" s="4"/>
      <c r="K373" s="4"/>
      <c r="L373" s="4"/>
      <c r="M373" s="4"/>
      <c r="N373" s="4"/>
      <c r="O373" s="4"/>
      <c r="P373" s="4"/>
      <c r="Q373" s="4">
        <f t="shared" si="34"/>
        <v>1243</v>
      </c>
      <c r="R373" s="4"/>
      <c r="S373" s="4">
        <f t="shared" si="35"/>
        <v>14916</v>
      </c>
    </row>
    <row r="374" spans="1:19" ht="12.75" customHeight="1">
      <c r="A374" s="7"/>
      <c r="B374" s="31" t="s">
        <v>357</v>
      </c>
      <c r="C374" s="7">
        <v>1</v>
      </c>
      <c r="D374" s="7">
        <v>4</v>
      </c>
      <c r="E374" s="7">
        <v>1243</v>
      </c>
      <c r="F374" s="71">
        <f t="shared" si="33"/>
        <v>1243</v>
      </c>
      <c r="G374" s="7"/>
      <c r="H374" s="7"/>
      <c r="I374" s="4">
        <f>E374*C374*0.1</f>
        <v>124.30000000000001</v>
      </c>
      <c r="J374" s="7"/>
      <c r="K374" s="7"/>
      <c r="L374" s="7"/>
      <c r="M374" s="7"/>
      <c r="N374" s="7"/>
      <c r="O374" s="7"/>
      <c r="P374" s="4">
        <f>SUM(G374:O374)</f>
        <v>124.30000000000001</v>
      </c>
      <c r="Q374" s="4">
        <f t="shared" si="34"/>
        <v>1367.3</v>
      </c>
      <c r="R374" s="7"/>
      <c r="S374" s="4">
        <f t="shared" si="35"/>
        <v>16407.6</v>
      </c>
    </row>
    <row r="375" spans="1:19" ht="12.75" customHeight="1">
      <c r="A375" s="7"/>
      <c r="B375" s="31" t="s">
        <v>424</v>
      </c>
      <c r="C375" s="7">
        <v>1</v>
      </c>
      <c r="D375" s="7">
        <v>4</v>
      </c>
      <c r="E375" s="7">
        <v>1243</v>
      </c>
      <c r="F375" s="71">
        <f t="shared" si="33"/>
        <v>1243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4">
        <f t="shared" si="34"/>
        <v>1243</v>
      </c>
      <c r="R375" s="7"/>
      <c r="S375" s="4">
        <f t="shared" si="35"/>
        <v>14916</v>
      </c>
    </row>
    <row r="376" spans="1:19" ht="12.75" customHeight="1">
      <c r="A376" s="7"/>
      <c r="B376" s="31" t="s">
        <v>468</v>
      </c>
      <c r="C376" s="7">
        <v>1</v>
      </c>
      <c r="D376" s="7">
        <v>1</v>
      </c>
      <c r="E376" s="7">
        <v>1218</v>
      </c>
      <c r="F376" s="71">
        <f t="shared" si="33"/>
        <v>1218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4">
        <f t="shared" si="34"/>
        <v>1218</v>
      </c>
      <c r="R376" s="7"/>
      <c r="S376" s="4">
        <f t="shared" si="35"/>
        <v>14616</v>
      </c>
    </row>
    <row r="377" spans="1:19" ht="12.75" customHeight="1">
      <c r="A377" s="10"/>
      <c r="B377" s="26" t="s">
        <v>40</v>
      </c>
      <c r="C377" s="10">
        <f>SUM(C368:C376)</f>
        <v>9.5</v>
      </c>
      <c r="D377" s="10"/>
      <c r="E377" s="10"/>
      <c r="F377" s="72">
        <f>SUM(F368:F376)</f>
        <v>12190.5</v>
      </c>
      <c r="G377" s="10"/>
      <c r="H377" s="10"/>
      <c r="I377" s="11">
        <f>SUM(I368:I375)</f>
        <v>386.70000000000005</v>
      </c>
      <c r="J377" s="11"/>
      <c r="K377" s="11"/>
      <c r="L377" s="11"/>
      <c r="M377" s="11"/>
      <c r="N377" s="11"/>
      <c r="O377" s="11"/>
      <c r="P377" s="11">
        <f>SUM(P368:P375)</f>
        <v>386.70000000000005</v>
      </c>
      <c r="Q377" s="11">
        <f>SUM(Q368:Q376)</f>
        <v>12577.199999999999</v>
      </c>
      <c r="R377" s="11">
        <f>SUM(R368:R375)</f>
        <v>0</v>
      </c>
      <c r="S377" s="11">
        <f>SUM(S368:S376)</f>
        <v>150926.4</v>
      </c>
    </row>
    <row r="378" spans="1:19" ht="12.75" customHeight="1">
      <c r="A378" s="3" t="s">
        <v>29</v>
      </c>
      <c r="B378" s="2" t="s">
        <v>123</v>
      </c>
      <c r="C378" s="3"/>
      <c r="D378" s="3"/>
      <c r="E378" s="5"/>
      <c r="F378" s="7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</row>
    <row r="379" spans="1:19" ht="12.75" customHeight="1">
      <c r="A379" s="7"/>
      <c r="B379" s="31" t="s">
        <v>124</v>
      </c>
      <c r="C379" s="7">
        <v>1</v>
      </c>
      <c r="D379" s="7">
        <v>9</v>
      </c>
      <c r="E379" s="4">
        <v>1474</v>
      </c>
      <c r="F379" s="71">
        <f>E379*C379</f>
        <v>1474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4">
        <f>E379*C379+SUM(G379:O379)</f>
        <v>1474</v>
      </c>
      <c r="R379" s="7"/>
      <c r="S379" s="4">
        <f>Q379*$R$17</f>
        <v>17688</v>
      </c>
    </row>
    <row r="380" spans="1:19" ht="12.75" customHeight="1">
      <c r="A380" s="7"/>
      <c r="B380" s="31" t="s">
        <v>180</v>
      </c>
      <c r="C380" s="7">
        <v>1</v>
      </c>
      <c r="D380" s="7">
        <v>7</v>
      </c>
      <c r="E380" s="4">
        <v>1312</v>
      </c>
      <c r="F380" s="71">
        <f>E380*C380</f>
        <v>1312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4">
        <f>E380*C380+SUM(G380:O380)</f>
        <v>1312</v>
      </c>
      <c r="R380" s="7"/>
      <c r="S380" s="4">
        <f>Q380*$R$17</f>
        <v>15744</v>
      </c>
    </row>
    <row r="381" spans="1:19" ht="12.75" customHeight="1">
      <c r="A381" s="8"/>
      <c r="B381" s="27" t="s">
        <v>359</v>
      </c>
      <c r="C381" s="8">
        <v>5</v>
      </c>
      <c r="D381" s="8">
        <v>2</v>
      </c>
      <c r="E381" s="8">
        <v>1223</v>
      </c>
      <c r="F381" s="71">
        <f>E381*C381</f>
        <v>6115</v>
      </c>
      <c r="G381" s="8"/>
      <c r="H381" s="8"/>
      <c r="I381" s="8"/>
      <c r="J381" s="8"/>
      <c r="K381" s="8"/>
      <c r="L381" s="8"/>
      <c r="M381" s="8"/>
      <c r="N381" s="8"/>
      <c r="O381" s="8"/>
      <c r="P381" s="7"/>
      <c r="Q381" s="4">
        <f>E381*C381+SUM(G381:O381)</f>
        <v>6115</v>
      </c>
      <c r="R381" s="7"/>
      <c r="S381" s="4">
        <f>Q381*$R$17</f>
        <v>73380</v>
      </c>
    </row>
    <row r="382" spans="1:19" ht="12.75" customHeight="1">
      <c r="A382" s="10"/>
      <c r="B382" s="26" t="s">
        <v>40</v>
      </c>
      <c r="C382" s="10">
        <f>SUM(C379:C381)</f>
        <v>7</v>
      </c>
      <c r="D382" s="10"/>
      <c r="E382" s="10"/>
      <c r="F382" s="72">
        <f>SUM(F379:F381)</f>
        <v>8901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>
        <f>SUM(Q379:Q381)</f>
        <v>8901</v>
      </c>
      <c r="R382" s="10">
        <f>SUM(R379:R381)</f>
        <v>0</v>
      </c>
      <c r="S382" s="10">
        <f>SUM(S379:S381)</f>
        <v>106812</v>
      </c>
    </row>
    <row r="383" spans="1:19" ht="12" customHeight="1">
      <c r="A383" s="3" t="s">
        <v>59</v>
      </c>
      <c r="B383" s="2" t="s">
        <v>125</v>
      </c>
      <c r="C383" s="3"/>
      <c r="D383" s="3"/>
      <c r="E383" s="5"/>
      <c r="F383" s="7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</row>
    <row r="384" spans="1:19" ht="12" customHeight="1">
      <c r="A384" s="7"/>
      <c r="B384" s="31" t="s">
        <v>507</v>
      </c>
      <c r="C384" s="7">
        <v>1</v>
      </c>
      <c r="D384" s="7">
        <v>7</v>
      </c>
      <c r="E384" s="4">
        <v>1312</v>
      </c>
      <c r="F384" s="71">
        <f>E384*C384</f>
        <v>1312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4">
        <f>E384*C384+SUM(G384:O384)</f>
        <v>1312</v>
      </c>
      <c r="R384" s="7"/>
      <c r="S384" s="4">
        <f>Q384*$R$17</f>
        <v>15744</v>
      </c>
    </row>
    <row r="385" spans="1:19" ht="12" customHeight="1">
      <c r="A385" s="7"/>
      <c r="B385" s="31" t="s">
        <v>126</v>
      </c>
      <c r="C385" s="7">
        <v>7</v>
      </c>
      <c r="D385" s="7">
        <v>4</v>
      </c>
      <c r="E385" s="4">
        <v>1243</v>
      </c>
      <c r="F385" s="71">
        <f>E385*C385</f>
        <v>8701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4">
        <f>E385*C385+SUM(G385:O385)</f>
        <v>8701</v>
      </c>
      <c r="R385" s="7"/>
      <c r="S385" s="4">
        <f>Q385*$R$17</f>
        <v>104412</v>
      </c>
    </row>
    <row r="386" spans="1:19" ht="36.75" customHeight="1">
      <c r="A386" s="7"/>
      <c r="B386" s="45" t="s">
        <v>499</v>
      </c>
      <c r="C386" s="31"/>
      <c r="D386" s="7"/>
      <c r="E386" s="7"/>
      <c r="F386" s="7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121" t="s">
        <v>214</v>
      </c>
      <c r="C387" s="7">
        <v>6</v>
      </c>
      <c r="D387" s="7">
        <v>2</v>
      </c>
      <c r="E387" s="7">
        <v>1223</v>
      </c>
      <c r="F387" s="71">
        <f aca="true" t="shared" si="36" ref="F387:F392">E387*C387</f>
        <v>7338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4">
        <f aca="true" t="shared" si="37" ref="Q387:Q392">E387*C387+SUM(G387:O387)</f>
        <v>7338</v>
      </c>
      <c r="R387" s="7"/>
      <c r="S387" s="4">
        <f aca="true" t="shared" si="38" ref="S387:S392">Q387*$R$17</f>
        <v>88056</v>
      </c>
    </row>
    <row r="388" spans="1:19" ht="12.75" customHeight="1">
      <c r="A388" s="7"/>
      <c r="B388" s="31" t="s">
        <v>361</v>
      </c>
      <c r="C388" s="7">
        <v>46.5</v>
      </c>
      <c r="D388" s="7">
        <v>1</v>
      </c>
      <c r="E388" s="7">
        <v>1218</v>
      </c>
      <c r="F388" s="71">
        <f t="shared" si="36"/>
        <v>56637</v>
      </c>
      <c r="G388" s="7"/>
      <c r="H388" s="7"/>
      <c r="I388" s="7"/>
      <c r="J388" s="7"/>
      <c r="K388" s="7"/>
      <c r="L388" s="7"/>
      <c r="M388" s="7"/>
      <c r="N388" s="7"/>
      <c r="O388" s="4">
        <f>E388*C388*0.1</f>
        <v>5663.700000000001</v>
      </c>
      <c r="P388" s="4">
        <f>SUM(G388:O388)</f>
        <v>5663.700000000001</v>
      </c>
      <c r="Q388" s="4">
        <f t="shared" si="37"/>
        <v>62300.7</v>
      </c>
      <c r="R388" s="7"/>
      <c r="S388" s="4">
        <f t="shared" si="38"/>
        <v>747608.3999999999</v>
      </c>
    </row>
    <row r="389" spans="1:19" ht="12.75" customHeight="1">
      <c r="A389" s="7"/>
      <c r="B389" s="31" t="s">
        <v>360</v>
      </c>
      <c r="C389" s="7">
        <f>46-16</f>
        <v>30</v>
      </c>
      <c r="D389" s="7">
        <v>1</v>
      </c>
      <c r="E389" s="7">
        <v>1218</v>
      </c>
      <c r="F389" s="71">
        <f t="shared" si="36"/>
        <v>36540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4">
        <f t="shared" si="37"/>
        <v>36540</v>
      </c>
      <c r="R389" s="7"/>
      <c r="S389" s="4">
        <f t="shared" si="38"/>
        <v>438480</v>
      </c>
    </row>
    <row r="390" spans="1:19" ht="12.75" customHeight="1">
      <c r="A390" s="7"/>
      <c r="B390" s="31" t="s">
        <v>362</v>
      </c>
      <c r="C390" s="7">
        <f>13-5</f>
        <v>8</v>
      </c>
      <c r="D390" s="7">
        <v>1</v>
      </c>
      <c r="E390" s="7">
        <v>1218</v>
      </c>
      <c r="F390" s="71">
        <f t="shared" si="36"/>
        <v>9744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4">
        <f t="shared" si="37"/>
        <v>9744</v>
      </c>
      <c r="R390" s="7"/>
      <c r="S390" s="4">
        <f t="shared" si="38"/>
        <v>116928</v>
      </c>
    </row>
    <row r="391" spans="1:19" ht="12.75" customHeight="1">
      <c r="A391" s="7"/>
      <c r="B391" s="31" t="s">
        <v>363</v>
      </c>
      <c r="C391" s="7">
        <v>1</v>
      </c>
      <c r="D391" s="7">
        <v>1</v>
      </c>
      <c r="E391" s="7">
        <v>1218</v>
      </c>
      <c r="F391" s="71">
        <f t="shared" si="36"/>
        <v>1218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4">
        <f t="shared" si="37"/>
        <v>1218</v>
      </c>
      <c r="R391" s="7"/>
      <c r="S391" s="4">
        <f t="shared" si="38"/>
        <v>14616</v>
      </c>
    </row>
    <row r="392" spans="1:19" ht="12.75" customHeight="1">
      <c r="A392" s="7"/>
      <c r="B392" s="27" t="s">
        <v>364</v>
      </c>
      <c r="C392" s="8">
        <v>4</v>
      </c>
      <c r="D392" s="7">
        <v>1</v>
      </c>
      <c r="E392" s="7">
        <v>1218</v>
      </c>
      <c r="F392" s="71">
        <f t="shared" si="36"/>
        <v>4872</v>
      </c>
      <c r="G392" s="8"/>
      <c r="H392" s="8"/>
      <c r="I392" s="8"/>
      <c r="J392" s="8"/>
      <c r="K392" s="8"/>
      <c r="L392" s="8"/>
      <c r="M392" s="8"/>
      <c r="N392" s="8"/>
      <c r="O392" s="8"/>
      <c r="P392" s="7"/>
      <c r="Q392" s="4">
        <f t="shared" si="37"/>
        <v>4872</v>
      </c>
      <c r="R392" s="7"/>
      <c r="S392" s="4">
        <f t="shared" si="38"/>
        <v>58464</v>
      </c>
    </row>
    <row r="393" spans="1:19" ht="12.75" customHeight="1">
      <c r="A393" s="10"/>
      <c r="B393" s="26" t="s">
        <v>40</v>
      </c>
      <c r="C393" s="10">
        <f>SUM(C384:C392)</f>
        <v>103.5</v>
      </c>
      <c r="D393" s="10"/>
      <c r="E393" s="10"/>
      <c r="F393" s="72">
        <f>SUM(F384:F392)</f>
        <v>126362</v>
      </c>
      <c r="G393" s="10"/>
      <c r="H393" s="10"/>
      <c r="I393" s="10"/>
      <c r="J393" s="10"/>
      <c r="K393" s="10"/>
      <c r="L393" s="10"/>
      <c r="M393" s="10"/>
      <c r="N393" s="10"/>
      <c r="O393" s="11">
        <f>SUM(O384:O392)</f>
        <v>5663.700000000001</v>
      </c>
      <c r="P393" s="11">
        <f>SUM(P384:P392)</f>
        <v>5663.700000000001</v>
      </c>
      <c r="Q393" s="11">
        <f>SUM(Q384:Q392)</f>
        <v>132025.7</v>
      </c>
      <c r="R393" s="11">
        <f>SUM(R384:R392)</f>
        <v>0</v>
      </c>
      <c r="S393" s="11">
        <f>SUM(S384:S392)</f>
        <v>1584308.4</v>
      </c>
    </row>
    <row r="394" spans="1:19" ht="12.75" customHeight="1">
      <c r="A394" s="3" t="s">
        <v>62</v>
      </c>
      <c r="B394" s="2" t="s">
        <v>129</v>
      </c>
      <c r="C394" s="3"/>
      <c r="D394" s="3"/>
      <c r="E394" s="5"/>
      <c r="F394" s="7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 customHeight="1">
      <c r="A395" s="7"/>
      <c r="B395" s="31" t="s">
        <v>130</v>
      </c>
      <c r="C395" s="7">
        <v>1</v>
      </c>
      <c r="D395" s="7">
        <v>13</v>
      </c>
      <c r="E395" s="4">
        <v>1934</v>
      </c>
      <c r="F395" s="71">
        <f aca="true" t="shared" si="39" ref="F395:F405">E395*C395</f>
        <v>1934</v>
      </c>
      <c r="G395" s="4">
        <f aca="true" t="shared" si="40" ref="G395:G405">E395*C395*0.5</f>
        <v>967</v>
      </c>
      <c r="H395" s="7"/>
      <c r="I395" s="4">
        <f>E395*C395*0.3</f>
        <v>580.1999999999999</v>
      </c>
      <c r="J395" s="4"/>
      <c r="K395" s="7"/>
      <c r="L395" s="7"/>
      <c r="M395" s="7"/>
      <c r="N395" s="7"/>
      <c r="O395" s="7"/>
      <c r="P395" s="4">
        <f aca="true" t="shared" si="41" ref="P395:P405">SUM(G395:O395)</f>
        <v>1547.1999999999998</v>
      </c>
      <c r="Q395" s="4">
        <f aca="true" t="shared" si="42" ref="Q395:Q405">E395*C395+SUM(G395:O395)</f>
        <v>3481.2</v>
      </c>
      <c r="R395" s="7"/>
      <c r="S395" s="4">
        <f aca="true" t="shared" si="43" ref="S395:S405">Q395*$R$17</f>
        <v>41774.399999999994</v>
      </c>
    </row>
    <row r="396" spans="1:19" ht="12.75" customHeight="1">
      <c r="A396" s="7"/>
      <c r="B396" s="31" t="s">
        <v>500</v>
      </c>
      <c r="C396" s="7">
        <v>1</v>
      </c>
      <c r="D396" s="7"/>
      <c r="E396" s="4">
        <v>1837</v>
      </c>
      <c r="F396" s="57">
        <f t="shared" si="39"/>
        <v>1837</v>
      </c>
      <c r="G396" s="4">
        <f t="shared" si="40"/>
        <v>918.5</v>
      </c>
      <c r="H396" s="7"/>
      <c r="I396" s="4">
        <f>E396*C396*0.1</f>
        <v>183.70000000000002</v>
      </c>
      <c r="J396" s="7"/>
      <c r="K396" s="7"/>
      <c r="L396" s="7"/>
      <c r="M396" s="7"/>
      <c r="N396" s="7"/>
      <c r="O396" s="7"/>
      <c r="P396" s="4">
        <f t="shared" si="41"/>
        <v>1102.2</v>
      </c>
      <c r="Q396" s="4">
        <f t="shared" si="42"/>
        <v>2939.2</v>
      </c>
      <c r="R396" s="7"/>
      <c r="S396" s="4">
        <f t="shared" si="43"/>
        <v>35270.399999999994</v>
      </c>
    </row>
    <row r="397" spans="1:19" ht="12.75" customHeight="1">
      <c r="A397" s="7"/>
      <c r="B397" s="31" t="s">
        <v>508</v>
      </c>
      <c r="C397" s="7">
        <v>4</v>
      </c>
      <c r="D397" s="7">
        <v>10</v>
      </c>
      <c r="E397" s="4">
        <v>1551</v>
      </c>
      <c r="F397" s="71">
        <f t="shared" si="39"/>
        <v>6204</v>
      </c>
      <c r="G397" s="7">
        <f t="shared" si="40"/>
        <v>3102</v>
      </c>
      <c r="H397" s="7"/>
      <c r="I397" s="4">
        <f>E397*0.1*2+E397*0.2</f>
        <v>620.4000000000001</v>
      </c>
      <c r="J397" s="4"/>
      <c r="K397" s="7"/>
      <c r="L397" s="7"/>
      <c r="M397" s="7"/>
      <c r="N397" s="7"/>
      <c r="O397" s="7"/>
      <c r="P397" s="4">
        <f t="shared" si="41"/>
        <v>3722.4</v>
      </c>
      <c r="Q397" s="4">
        <f t="shared" si="42"/>
        <v>9926.4</v>
      </c>
      <c r="R397" s="7"/>
      <c r="S397" s="4">
        <f t="shared" si="43"/>
        <v>119116.79999999999</v>
      </c>
    </row>
    <row r="398" spans="1:19" ht="12.75" customHeight="1">
      <c r="A398" s="7"/>
      <c r="B398" s="31" t="s">
        <v>396</v>
      </c>
      <c r="C398" s="7">
        <v>1</v>
      </c>
      <c r="D398" s="7">
        <v>10</v>
      </c>
      <c r="E398" s="4">
        <v>1551</v>
      </c>
      <c r="F398" s="71">
        <f t="shared" si="39"/>
        <v>1551</v>
      </c>
      <c r="G398" s="7">
        <f t="shared" si="40"/>
        <v>775.5</v>
      </c>
      <c r="H398" s="7"/>
      <c r="I398" s="4">
        <f>E398*C398*0.2</f>
        <v>310.20000000000005</v>
      </c>
      <c r="J398" s="4"/>
      <c r="K398" s="7"/>
      <c r="L398" s="7"/>
      <c r="M398" s="7"/>
      <c r="N398" s="7"/>
      <c r="O398" s="7"/>
      <c r="P398" s="4">
        <f t="shared" si="41"/>
        <v>1085.7</v>
      </c>
      <c r="Q398" s="4">
        <f t="shared" si="42"/>
        <v>2636.7</v>
      </c>
      <c r="R398" s="7"/>
      <c r="S398" s="4">
        <f t="shared" si="43"/>
        <v>31640.399999999998</v>
      </c>
    </row>
    <row r="399" spans="1:19" ht="12.75" customHeight="1">
      <c r="A399" s="7"/>
      <c r="B399" s="31" t="s">
        <v>509</v>
      </c>
      <c r="C399" s="7">
        <v>2</v>
      </c>
      <c r="D399" s="7">
        <v>10</v>
      </c>
      <c r="E399" s="4">
        <v>1551</v>
      </c>
      <c r="F399" s="71">
        <f t="shared" si="39"/>
        <v>3102</v>
      </c>
      <c r="G399" s="7">
        <f t="shared" si="40"/>
        <v>1551</v>
      </c>
      <c r="H399" s="7"/>
      <c r="I399" s="4">
        <f>E399*0.1+E399*0.3</f>
        <v>620.4</v>
      </c>
      <c r="J399" s="4"/>
      <c r="K399" s="7"/>
      <c r="L399" s="7"/>
      <c r="M399" s="7"/>
      <c r="N399" s="7"/>
      <c r="O399" s="7"/>
      <c r="P399" s="4">
        <f t="shared" si="41"/>
        <v>2171.4</v>
      </c>
      <c r="Q399" s="4">
        <f t="shared" si="42"/>
        <v>5273.4</v>
      </c>
      <c r="R399" s="7"/>
      <c r="S399" s="4">
        <f t="shared" si="43"/>
        <v>63280.799999999996</v>
      </c>
    </row>
    <row r="400" spans="1:19" ht="12.75" customHeight="1">
      <c r="A400" s="7"/>
      <c r="B400" s="31" t="s">
        <v>397</v>
      </c>
      <c r="C400" s="7">
        <v>1</v>
      </c>
      <c r="D400" s="7">
        <v>10</v>
      </c>
      <c r="E400" s="4">
        <v>1551</v>
      </c>
      <c r="F400" s="71">
        <f t="shared" si="39"/>
        <v>1551</v>
      </c>
      <c r="G400" s="7">
        <f t="shared" si="40"/>
        <v>775.5</v>
      </c>
      <c r="H400" s="7"/>
      <c r="I400" s="4">
        <f>E400*0.3</f>
        <v>465.29999999999995</v>
      </c>
      <c r="J400" s="4"/>
      <c r="K400" s="7"/>
      <c r="L400" s="7"/>
      <c r="M400" s="7"/>
      <c r="N400" s="7"/>
      <c r="O400" s="7"/>
      <c r="P400" s="4">
        <f t="shared" si="41"/>
        <v>1240.8</v>
      </c>
      <c r="Q400" s="4">
        <f t="shared" si="42"/>
        <v>2791.8</v>
      </c>
      <c r="R400" s="7"/>
      <c r="S400" s="4">
        <f t="shared" si="43"/>
        <v>33501.600000000006</v>
      </c>
    </row>
    <row r="401" spans="1:19" ht="12.75" customHeight="1">
      <c r="A401" s="7"/>
      <c r="B401" s="31" t="s">
        <v>398</v>
      </c>
      <c r="C401" s="7">
        <v>4</v>
      </c>
      <c r="D401" s="7">
        <v>10</v>
      </c>
      <c r="E401" s="4">
        <v>1551</v>
      </c>
      <c r="F401" s="71">
        <f t="shared" si="39"/>
        <v>6204</v>
      </c>
      <c r="G401" s="7">
        <f t="shared" si="40"/>
        <v>3102</v>
      </c>
      <c r="H401" s="7"/>
      <c r="I401" s="4">
        <f>E401*1*0.2+E401*2*0.3</f>
        <v>1240.8</v>
      </c>
      <c r="J401" s="4"/>
      <c r="K401" s="7"/>
      <c r="L401" s="7"/>
      <c r="M401" s="7"/>
      <c r="N401" s="7"/>
      <c r="O401" s="7"/>
      <c r="P401" s="4">
        <f t="shared" si="41"/>
        <v>4342.8</v>
      </c>
      <c r="Q401" s="4">
        <f t="shared" si="42"/>
        <v>10546.8</v>
      </c>
      <c r="R401" s="7"/>
      <c r="S401" s="4">
        <f t="shared" si="43"/>
        <v>126561.59999999999</v>
      </c>
    </row>
    <row r="402" spans="1:19" ht="12.75" customHeight="1">
      <c r="A402" s="7"/>
      <c r="B402" s="31" t="s">
        <v>399</v>
      </c>
      <c r="C402" s="7">
        <v>3</v>
      </c>
      <c r="D402" s="7">
        <v>9</v>
      </c>
      <c r="E402" s="4">
        <v>1474</v>
      </c>
      <c r="F402" s="71">
        <f t="shared" si="39"/>
        <v>4422</v>
      </c>
      <c r="G402" s="4">
        <f t="shared" si="40"/>
        <v>2211</v>
      </c>
      <c r="H402" s="7"/>
      <c r="I402" s="4">
        <f>E402*0.1+E402*0.2</f>
        <v>442.20000000000005</v>
      </c>
      <c r="J402" s="4"/>
      <c r="K402" s="7"/>
      <c r="L402" s="7"/>
      <c r="M402" s="7"/>
      <c r="N402" s="7"/>
      <c r="O402" s="7"/>
      <c r="P402" s="4">
        <f t="shared" si="41"/>
        <v>2653.2</v>
      </c>
      <c r="Q402" s="4">
        <f t="shared" si="42"/>
        <v>7075.2</v>
      </c>
      <c r="R402" s="7"/>
      <c r="S402" s="4">
        <f t="shared" si="43"/>
        <v>84902.4</v>
      </c>
    </row>
    <row r="403" spans="1:19" ht="12.75" customHeight="1">
      <c r="A403" s="7"/>
      <c r="B403" s="31" t="s">
        <v>400</v>
      </c>
      <c r="C403" s="7">
        <v>1</v>
      </c>
      <c r="D403" s="7">
        <v>10</v>
      </c>
      <c r="E403" s="4">
        <v>1551</v>
      </c>
      <c r="F403" s="71">
        <f t="shared" si="39"/>
        <v>1551</v>
      </c>
      <c r="G403" s="7">
        <f t="shared" si="40"/>
        <v>775.5</v>
      </c>
      <c r="H403" s="7"/>
      <c r="I403" s="4">
        <f>E403*0.3</f>
        <v>465.29999999999995</v>
      </c>
      <c r="J403" s="4"/>
      <c r="K403" s="7"/>
      <c r="L403" s="7"/>
      <c r="M403" s="7"/>
      <c r="N403" s="7"/>
      <c r="O403" s="7"/>
      <c r="P403" s="4">
        <f t="shared" si="41"/>
        <v>1240.8</v>
      </c>
      <c r="Q403" s="4">
        <f t="shared" si="42"/>
        <v>2791.8</v>
      </c>
      <c r="R403" s="7"/>
      <c r="S403" s="4">
        <f t="shared" si="43"/>
        <v>33501.600000000006</v>
      </c>
    </row>
    <row r="404" spans="1:19" ht="12.75" customHeight="1">
      <c r="A404" s="7"/>
      <c r="B404" s="31" t="s">
        <v>401</v>
      </c>
      <c r="C404" s="7">
        <v>5</v>
      </c>
      <c r="D404" s="7">
        <v>9</v>
      </c>
      <c r="E404" s="4">
        <v>1474</v>
      </c>
      <c r="F404" s="71">
        <f t="shared" si="39"/>
        <v>7370</v>
      </c>
      <c r="G404" s="4">
        <f t="shared" si="40"/>
        <v>3685</v>
      </c>
      <c r="H404" s="7"/>
      <c r="I404" s="4">
        <f>E404*3*0.1</f>
        <v>442.20000000000005</v>
      </c>
      <c r="J404" s="4"/>
      <c r="K404" s="7"/>
      <c r="L404" s="7"/>
      <c r="M404" s="7"/>
      <c r="N404" s="7"/>
      <c r="O404" s="7"/>
      <c r="P404" s="4">
        <f t="shared" si="41"/>
        <v>4127.2</v>
      </c>
      <c r="Q404" s="4">
        <f t="shared" si="42"/>
        <v>11497.2</v>
      </c>
      <c r="R404" s="7"/>
      <c r="S404" s="4">
        <f t="shared" si="43"/>
        <v>137966.40000000002</v>
      </c>
    </row>
    <row r="405" spans="1:19" ht="12.75" customHeight="1">
      <c r="A405" s="8"/>
      <c r="B405" s="27" t="s">
        <v>402</v>
      </c>
      <c r="C405" s="8">
        <v>3</v>
      </c>
      <c r="D405" s="8">
        <v>9</v>
      </c>
      <c r="E405" s="9">
        <v>1474</v>
      </c>
      <c r="F405" s="74">
        <f t="shared" si="39"/>
        <v>4422</v>
      </c>
      <c r="G405" s="9">
        <f t="shared" si="40"/>
        <v>2211</v>
      </c>
      <c r="H405" s="8"/>
      <c r="I405" s="9">
        <f>E405*0.1+E405*0.3</f>
        <v>589.6</v>
      </c>
      <c r="J405" s="9"/>
      <c r="K405" s="8"/>
      <c r="L405" s="8"/>
      <c r="M405" s="8"/>
      <c r="N405" s="8"/>
      <c r="O405" s="8"/>
      <c r="P405" s="9">
        <f t="shared" si="41"/>
        <v>2800.6</v>
      </c>
      <c r="Q405" s="9">
        <f t="shared" si="42"/>
        <v>7222.6</v>
      </c>
      <c r="R405" s="8"/>
      <c r="S405" s="9">
        <f t="shared" si="43"/>
        <v>86671.20000000001</v>
      </c>
    </row>
    <row r="406" spans="1:19" ht="12.75" customHeight="1">
      <c r="A406" s="10"/>
      <c r="B406" s="26" t="s">
        <v>40</v>
      </c>
      <c r="C406" s="10">
        <f>SUM(C395:C405)</f>
        <v>26</v>
      </c>
      <c r="D406" s="10"/>
      <c r="E406" s="10"/>
      <c r="F406" s="72">
        <f>SUM(F395:F405)</f>
        <v>40148</v>
      </c>
      <c r="G406" s="10">
        <f>SUM(G395:G405)</f>
        <v>20074</v>
      </c>
      <c r="H406" s="10"/>
      <c r="I406" s="11">
        <f>SUM(I395:I405)</f>
        <v>5960.3</v>
      </c>
      <c r="J406" s="11"/>
      <c r="K406" s="11"/>
      <c r="L406" s="11"/>
      <c r="M406" s="11"/>
      <c r="N406" s="11"/>
      <c r="O406" s="11"/>
      <c r="P406" s="11">
        <f>SUM(P395:P405)</f>
        <v>26034.3</v>
      </c>
      <c r="Q406" s="11">
        <f>SUM(Q395:Q405)</f>
        <v>66182.3</v>
      </c>
      <c r="R406" s="11">
        <f>SUM(R395:R405)</f>
        <v>0</v>
      </c>
      <c r="S406" s="11">
        <f>SUM(S395:S405)</f>
        <v>794187.6000000001</v>
      </c>
    </row>
    <row r="407" spans="1:19" ht="11.25" customHeight="1">
      <c r="A407" s="3" t="s">
        <v>64</v>
      </c>
      <c r="B407" s="2" t="s">
        <v>131</v>
      </c>
      <c r="C407" s="3"/>
      <c r="D407" s="3"/>
      <c r="E407" s="5"/>
      <c r="F407" s="7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</row>
    <row r="408" spans="1:19" ht="11.25" customHeight="1">
      <c r="A408" s="7"/>
      <c r="B408" s="31" t="s">
        <v>132</v>
      </c>
      <c r="C408" s="7">
        <v>1</v>
      </c>
      <c r="D408" s="7">
        <v>11</v>
      </c>
      <c r="E408" s="4">
        <v>1678</v>
      </c>
      <c r="F408" s="71">
        <f aca="true" t="shared" si="44" ref="F408:F418">E408*C408</f>
        <v>1678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4">
        <f aca="true" t="shared" si="45" ref="Q408:Q418">E408*C408+SUM(G408:O408)</f>
        <v>1678</v>
      </c>
      <c r="R408" s="7"/>
      <c r="S408" s="4">
        <f aca="true" t="shared" si="46" ref="S408:S418">Q408*$R$17</f>
        <v>20136</v>
      </c>
    </row>
    <row r="409" spans="1:19" ht="23.25" customHeight="1">
      <c r="A409" s="7"/>
      <c r="B409" s="31" t="s">
        <v>510</v>
      </c>
      <c r="C409" s="7">
        <v>1</v>
      </c>
      <c r="D409" s="7"/>
      <c r="E409" s="4">
        <v>1594</v>
      </c>
      <c r="F409" s="71">
        <f t="shared" si="44"/>
        <v>1594</v>
      </c>
      <c r="G409" s="7" t="s">
        <v>91</v>
      </c>
      <c r="H409" s="7"/>
      <c r="I409" s="7"/>
      <c r="J409" s="7"/>
      <c r="K409" s="7"/>
      <c r="L409" s="7"/>
      <c r="M409" s="7"/>
      <c r="N409" s="7"/>
      <c r="O409" s="7"/>
      <c r="P409" s="7"/>
      <c r="Q409" s="4">
        <f t="shared" si="45"/>
        <v>1594</v>
      </c>
      <c r="R409" s="7"/>
      <c r="S409" s="4">
        <f t="shared" si="46"/>
        <v>19128</v>
      </c>
    </row>
    <row r="410" spans="1:19" ht="22.5" customHeight="1">
      <c r="A410" s="7"/>
      <c r="B410" s="31" t="s">
        <v>511</v>
      </c>
      <c r="C410" s="7">
        <v>1</v>
      </c>
      <c r="D410" s="7"/>
      <c r="E410" s="4">
        <v>1594</v>
      </c>
      <c r="F410" s="71">
        <f t="shared" si="44"/>
        <v>1594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4">
        <f t="shared" si="45"/>
        <v>1594</v>
      </c>
      <c r="R410" s="7"/>
      <c r="S410" s="4">
        <f t="shared" si="46"/>
        <v>19128</v>
      </c>
    </row>
    <row r="411" spans="1:19" ht="11.25" customHeight="1">
      <c r="A411" s="7"/>
      <c r="B411" s="31" t="s">
        <v>133</v>
      </c>
      <c r="C411" s="7">
        <v>4</v>
      </c>
      <c r="D411" s="7">
        <v>4</v>
      </c>
      <c r="E411" s="4">
        <v>1243</v>
      </c>
      <c r="F411" s="71">
        <f t="shared" si="44"/>
        <v>4972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4">
        <f t="shared" si="45"/>
        <v>4972</v>
      </c>
      <c r="R411" s="7"/>
      <c r="S411" s="4">
        <f t="shared" si="46"/>
        <v>59664</v>
      </c>
    </row>
    <row r="412" spans="1:19" ht="11.25" customHeight="1">
      <c r="A412" s="7"/>
      <c r="B412" s="31" t="s">
        <v>134</v>
      </c>
      <c r="C412" s="7">
        <v>4</v>
      </c>
      <c r="D412" s="7">
        <v>4</v>
      </c>
      <c r="E412" s="4">
        <v>1243</v>
      </c>
      <c r="F412" s="71">
        <f t="shared" si="44"/>
        <v>4972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4">
        <f t="shared" si="45"/>
        <v>4972</v>
      </c>
      <c r="R412" s="7"/>
      <c r="S412" s="4">
        <f t="shared" si="46"/>
        <v>59664</v>
      </c>
    </row>
    <row r="413" spans="1:19" ht="11.25" customHeight="1">
      <c r="A413" s="7"/>
      <c r="B413" s="31" t="s">
        <v>289</v>
      </c>
      <c r="C413" s="7">
        <v>7.5</v>
      </c>
      <c r="D413" s="7">
        <v>1</v>
      </c>
      <c r="E413" s="7">
        <v>1218</v>
      </c>
      <c r="F413" s="71">
        <f t="shared" si="44"/>
        <v>9135</v>
      </c>
      <c r="G413" s="7"/>
      <c r="H413" s="7"/>
      <c r="I413" s="7"/>
      <c r="J413" s="7"/>
      <c r="K413" s="7"/>
      <c r="L413" s="7"/>
      <c r="M413" s="7"/>
      <c r="N413" s="7"/>
      <c r="O413" s="4">
        <f>E413*C413*0.1</f>
        <v>913.5</v>
      </c>
      <c r="P413" s="4">
        <f>SUM(G413:O413)</f>
        <v>913.5</v>
      </c>
      <c r="Q413" s="4">
        <f t="shared" si="45"/>
        <v>10048.5</v>
      </c>
      <c r="R413" s="4"/>
      <c r="S413" s="4">
        <f t="shared" si="46"/>
        <v>120582</v>
      </c>
    </row>
    <row r="414" spans="1:19" ht="11.25" customHeight="1">
      <c r="A414" s="7"/>
      <c r="B414" s="31" t="s">
        <v>365</v>
      </c>
      <c r="C414" s="7">
        <v>1</v>
      </c>
      <c r="D414" s="7">
        <v>1</v>
      </c>
      <c r="E414" s="7">
        <v>1218</v>
      </c>
      <c r="F414" s="71">
        <f t="shared" si="44"/>
        <v>1218</v>
      </c>
      <c r="G414" s="7"/>
      <c r="H414" s="7"/>
      <c r="I414" s="7"/>
      <c r="J414" s="7"/>
      <c r="K414" s="7"/>
      <c r="L414" s="7"/>
      <c r="M414" s="7"/>
      <c r="N414" s="7"/>
      <c r="O414" s="4"/>
      <c r="P414" s="4"/>
      <c r="Q414" s="4">
        <f t="shared" si="45"/>
        <v>1218</v>
      </c>
      <c r="R414" s="4"/>
      <c r="S414" s="4">
        <f t="shared" si="46"/>
        <v>14616</v>
      </c>
    </row>
    <row r="415" spans="1:19" ht="11.25" customHeight="1">
      <c r="A415" s="7"/>
      <c r="B415" s="31" t="s">
        <v>512</v>
      </c>
      <c r="C415" s="7">
        <v>2.5</v>
      </c>
      <c r="D415" s="7">
        <v>6</v>
      </c>
      <c r="E415" s="7">
        <v>1263</v>
      </c>
      <c r="F415" s="71">
        <f t="shared" si="44"/>
        <v>3157.5</v>
      </c>
      <c r="G415" s="7"/>
      <c r="H415" s="7"/>
      <c r="I415" s="7"/>
      <c r="J415" s="7"/>
      <c r="K415" s="7"/>
      <c r="L415" s="7"/>
      <c r="M415" s="7"/>
      <c r="N415" s="7"/>
      <c r="O415" s="4"/>
      <c r="P415" s="4"/>
      <c r="Q415" s="4">
        <f t="shared" si="45"/>
        <v>3157.5</v>
      </c>
      <c r="R415" s="4"/>
      <c r="S415" s="4">
        <f t="shared" si="46"/>
        <v>37890</v>
      </c>
    </row>
    <row r="416" spans="1:19" ht="11.25" customHeight="1">
      <c r="A416" s="7"/>
      <c r="B416" s="41" t="s">
        <v>366</v>
      </c>
      <c r="C416" s="42">
        <v>9</v>
      </c>
      <c r="D416" s="42">
        <v>2</v>
      </c>
      <c r="E416" s="42">
        <v>1223</v>
      </c>
      <c r="F416" s="71">
        <f t="shared" si="44"/>
        <v>11007</v>
      </c>
      <c r="G416" s="42"/>
      <c r="H416" s="42"/>
      <c r="I416" s="42"/>
      <c r="J416" s="42"/>
      <c r="K416" s="42"/>
      <c r="L416" s="42"/>
      <c r="M416" s="42"/>
      <c r="N416" s="42"/>
      <c r="O416" s="43"/>
      <c r="P416" s="43"/>
      <c r="Q416" s="4">
        <f t="shared" si="45"/>
        <v>11007</v>
      </c>
      <c r="R416" s="43"/>
      <c r="S416" s="43">
        <f t="shared" si="46"/>
        <v>132084</v>
      </c>
    </row>
    <row r="417" spans="1:19" ht="11.25" customHeight="1">
      <c r="A417" s="7"/>
      <c r="B417" s="31" t="s">
        <v>367</v>
      </c>
      <c r="C417" s="7">
        <v>4</v>
      </c>
      <c r="D417" s="7">
        <v>1</v>
      </c>
      <c r="E417" s="7">
        <v>1218</v>
      </c>
      <c r="F417" s="71">
        <f t="shared" si="44"/>
        <v>4872</v>
      </c>
      <c r="G417" s="7"/>
      <c r="H417" s="7"/>
      <c r="I417" s="7"/>
      <c r="J417" s="7"/>
      <c r="K417" s="7"/>
      <c r="L417" s="7"/>
      <c r="M417" s="7"/>
      <c r="N417" s="7"/>
      <c r="O417" s="4"/>
      <c r="P417" s="4"/>
      <c r="Q417" s="4">
        <f t="shared" si="45"/>
        <v>4872</v>
      </c>
      <c r="R417" s="4"/>
      <c r="S417" s="4">
        <f t="shared" si="46"/>
        <v>58464</v>
      </c>
    </row>
    <row r="418" spans="1:19" ht="11.25" customHeight="1">
      <c r="A418" s="7"/>
      <c r="B418" s="31" t="s">
        <v>368</v>
      </c>
      <c r="C418" s="7">
        <v>1</v>
      </c>
      <c r="D418" s="7">
        <v>1</v>
      </c>
      <c r="E418" s="7">
        <v>1218</v>
      </c>
      <c r="F418" s="71">
        <f t="shared" si="44"/>
        <v>1218</v>
      </c>
      <c r="G418" s="7"/>
      <c r="H418" s="7"/>
      <c r="I418" s="7"/>
      <c r="J418" s="7"/>
      <c r="K418" s="7"/>
      <c r="L418" s="7"/>
      <c r="M418" s="7"/>
      <c r="N418" s="7"/>
      <c r="O418" s="4"/>
      <c r="P418" s="4"/>
      <c r="Q418" s="4">
        <f t="shared" si="45"/>
        <v>1218</v>
      </c>
      <c r="R418" s="4"/>
      <c r="S418" s="4">
        <f t="shared" si="46"/>
        <v>14616</v>
      </c>
    </row>
    <row r="419" spans="1:19" ht="35.25" customHeight="1">
      <c r="A419" s="7"/>
      <c r="B419" s="31" t="s">
        <v>430</v>
      </c>
      <c r="C419" s="7"/>
      <c r="D419" s="7"/>
      <c r="E419" s="7"/>
      <c r="F419" s="71"/>
      <c r="G419" s="7"/>
      <c r="H419" s="7"/>
      <c r="I419" s="7"/>
      <c r="J419" s="7"/>
      <c r="K419" s="7"/>
      <c r="L419" s="7"/>
      <c r="M419" s="7"/>
      <c r="N419" s="7"/>
      <c r="O419" s="4"/>
      <c r="P419" s="4"/>
      <c r="Q419" s="4"/>
      <c r="R419" s="4"/>
      <c r="S419" s="4"/>
    </row>
    <row r="420" spans="1:19" ht="11.25" customHeight="1">
      <c r="A420" s="7"/>
      <c r="B420" s="121" t="s">
        <v>215</v>
      </c>
      <c r="C420" s="7">
        <v>4</v>
      </c>
      <c r="D420" s="7">
        <v>2</v>
      </c>
      <c r="E420" s="7">
        <v>1223</v>
      </c>
      <c r="F420" s="71">
        <f>E420*C420</f>
        <v>4892</v>
      </c>
      <c r="G420" s="7"/>
      <c r="H420" s="7"/>
      <c r="I420" s="7"/>
      <c r="J420" s="7"/>
      <c r="K420" s="7"/>
      <c r="L420" s="7"/>
      <c r="M420" s="7"/>
      <c r="N420" s="7"/>
      <c r="O420" s="4"/>
      <c r="P420" s="4"/>
      <c r="Q420" s="4">
        <f>E420*C420+SUM(G420:O420)</f>
        <v>4892</v>
      </c>
      <c r="R420" s="4"/>
      <c r="S420" s="4">
        <f>Q420*$R$17</f>
        <v>58704</v>
      </c>
    </row>
    <row r="421" spans="1:19" ht="11.25" customHeight="1">
      <c r="A421" s="7"/>
      <c r="B421" s="121" t="s">
        <v>216</v>
      </c>
      <c r="C421" s="7">
        <v>4</v>
      </c>
      <c r="D421" s="7">
        <v>2</v>
      </c>
      <c r="E421" s="7">
        <v>1223</v>
      </c>
      <c r="F421" s="71">
        <f>E421*C421</f>
        <v>4892</v>
      </c>
      <c r="G421" s="7"/>
      <c r="H421" s="7"/>
      <c r="I421" s="7"/>
      <c r="J421" s="7"/>
      <c r="K421" s="7"/>
      <c r="L421" s="7"/>
      <c r="M421" s="7"/>
      <c r="N421" s="7"/>
      <c r="O421" s="4"/>
      <c r="P421" s="4"/>
      <c r="Q421" s="4">
        <f>E421*C421+SUM(G421:O421)</f>
        <v>4892</v>
      </c>
      <c r="R421" s="4"/>
      <c r="S421" s="4">
        <f>Q421*$R$17</f>
        <v>58704</v>
      </c>
    </row>
    <row r="422" spans="1:19" ht="11.25" customHeight="1">
      <c r="A422" s="8"/>
      <c r="B422" s="120" t="s">
        <v>214</v>
      </c>
      <c r="C422" s="8">
        <v>4</v>
      </c>
      <c r="D422" s="7">
        <v>2</v>
      </c>
      <c r="E422" s="7">
        <v>1223</v>
      </c>
      <c r="F422" s="71">
        <f>E422*C422</f>
        <v>4892</v>
      </c>
      <c r="G422" s="8"/>
      <c r="H422" s="8"/>
      <c r="I422" s="8"/>
      <c r="J422" s="8"/>
      <c r="K422" s="8"/>
      <c r="L422" s="8"/>
      <c r="M422" s="8"/>
      <c r="N422" s="8"/>
      <c r="O422" s="9"/>
      <c r="P422" s="4"/>
      <c r="Q422" s="4">
        <f>E422*C422+SUM(G422:O422)</f>
        <v>4892</v>
      </c>
      <c r="R422" s="4"/>
      <c r="S422" s="4">
        <f>Q422*$R$17</f>
        <v>58704</v>
      </c>
    </row>
    <row r="423" spans="1:19" ht="11.25" customHeight="1">
      <c r="A423" s="10"/>
      <c r="B423" s="26" t="s">
        <v>40</v>
      </c>
      <c r="C423" s="10">
        <f>SUM(C408:C422)</f>
        <v>48</v>
      </c>
      <c r="D423" s="10"/>
      <c r="E423" s="10"/>
      <c r="F423" s="72">
        <f>SUM(F408:F422)</f>
        <v>60093.5</v>
      </c>
      <c r="G423" s="10"/>
      <c r="H423" s="10"/>
      <c r="I423" s="10"/>
      <c r="J423" s="10"/>
      <c r="K423" s="10"/>
      <c r="L423" s="10"/>
      <c r="M423" s="10"/>
      <c r="N423" s="10"/>
      <c r="O423" s="11">
        <f>SUM(O408:O422)</f>
        <v>913.5</v>
      </c>
      <c r="P423" s="11">
        <f>SUM(P408:P422)</f>
        <v>913.5</v>
      </c>
      <c r="Q423" s="11">
        <f>SUM(Q408:Q422)</f>
        <v>61007</v>
      </c>
      <c r="R423" s="11">
        <f>SUM(R408:R422)</f>
        <v>0</v>
      </c>
      <c r="S423" s="11">
        <f>SUM(S408:S422)</f>
        <v>732084</v>
      </c>
    </row>
    <row r="424" spans="1:19" ht="11.25" customHeight="1">
      <c r="A424" s="3" t="s">
        <v>66</v>
      </c>
      <c r="B424" s="2" t="s">
        <v>135</v>
      </c>
      <c r="C424" s="3"/>
      <c r="D424" s="3"/>
      <c r="E424" s="5"/>
      <c r="F424" s="7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</row>
    <row r="425" spans="1:19" ht="11.25" customHeight="1">
      <c r="A425" s="7"/>
      <c r="B425" s="31" t="s">
        <v>96</v>
      </c>
      <c r="C425" s="7">
        <v>1</v>
      </c>
      <c r="D425" s="7">
        <v>9</v>
      </c>
      <c r="E425" s="4">
        <v>1474</v>
      </c>
      <c r="F425" s="71">
        <f>E425*C425</f>
        <v>1474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4">
        <f>E425*C425+SUM(G425:O425)</f>
        <v>1474</v>
      </c>
      <c r="R425" s="8"/>
      <c r="S425" s="4">
        <f>Q425*$R$17</f>
        <v>17688</v>
      </c>
    </row>
    <row r="426" spans="1:19" ht="11.25" customHeight="1">
      <c r="A426" s="7"/>
      <c r="B426" s="31" t="s">
        <v>340</v>
      </c>
      <c r="C426" s="7">
        <v>3</v>
      </c>
      <c r="D426" s="7">
        <v>1</v>
      </c>
      <c r="E426" s="7">
        <v>1218</v>
      </c>
      <c r="F426" s="71">
        <f>E426*C426</f>
        <v>3654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4">
        <f>E426*C426+SUM(G426:O426)</f>
        <v>3654</v>
      </c>
      <c r="R426" s="7"/>
      <c r="S426" s="4">
        <f>Q426*$R$17</f>
        <v>43848</v>
      </c>
    </row>
    <row r="427" spans="1:19" ht="36.75" customHeight="1">
      <c r="A427" s="8"/>
      <c r="B427" s="31" t="s">
        <v>431</v>
      </c>
      <c r="C427" s="8">
        <v>1</v>
      </c>
      <c r="D427" s="8">
        <v>2</v>
      </c>
      <c r="E427" s="8">
        <v>1223</v>
      </c>
      <c r="F427" s="71">
        <f>E427*C427</f>
        <v>1223</v>
      </c>
      <c r="G427" s="8"/>
      <c r="H427" s="8"/>
      <c r="I427" s="8"/>
      <c r="J427" s="8"/>
      <c r="K427" s="8"/>
      <c r="L427" s="8"/>
      <c r="M427" s="8"/>
      <c r="N427" s="8"/>
      <c r="O427" s="8"/>
      <c r="P427" s="7"/>
      <c r="Q427" s="4">
        <f>E427*C427+SUM(G427:O427)</f>
        <v>1223</v>
      </c>
      <c r="R427" s="7"/>
      <c r="S427" s="4">
        <f>Q427*$R$17</f>
        <v>14676</v>
      </c>
    </row>
    <row r="428" spans="1:19" ht="12" customHeight="1">
      <c r="A428" s="10"/>
      <c r="B428" s="26" t="s">
        <v>40</v>
      </c>
      <c r="C428" s="10">
        <f>SUM(C425:C427)</f>
        <v>5</v>
      </c>
      <c r="D428" s="10"/>
      <c r="E428" s="10"/>
      <c r="F428" s="72">
        <f>SUM(F425:F427)</f>
        <v>6351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>
        <f>SUM(Q425:Q427)</f>
        <v>6351</v>
      </c>
      <c r="R428" s="10">
        <f>SUM(R425:R427)</f>
        <v>0</v>
      </c>
      <c r="S428" s="10">
        <f>SUM(S425:S427)</f>
        <v>76212</v>
      </c>
    </row>
    <row r="429" spans="1:19" ht="11.25" customHeight="1">
      <c r="A429" s="3" t="s">
        <v>67</v>
      </c>
      <c r="B429" s="2" t="s">
        <v>136</v>
      </c>
      <c r="C429" s="3"/>
      <c r="D429" s="3"/>
      <c r="E429" s="5"/>
      <c r="F429" s="7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</row>
    <row r="430" spans="1:19" ht="11.25" customHeight="1">
      <c r="A430" s="7"/>
      <c r="B430" s="31" t="s">
        <v>137</v>
      </c>
      <c r="C430" s="7">
        <v>1</v>
      </c>
      <c r="D430" s="7">
        <v>9</v>
      </c>
      <c r="E430" s="4">
        <v>1474</v>
      </c>
      <c r="F430" s="71">
        <f>E430*C430</f>
        <v>1474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4">
        <f>E430*C430+SUM(G430:O430)</f>
        <v>1474</v>
      </c>
      <c r="R430" s="7"/>
      <c r="S430" s="4">
        <f>Q430*$R$17</f>
        <v>17688</v>
      </c>
    </row>
    <row r="431" spans="1:19" ht="11.25" customHeight="1">
      <c r="A431" s="7"/>
      <c r="B431" s="31" t="s">
        <v>513</v>
      </c>
      <c r="C431" s="7">
        <v>1</v>
      </c>
      <c r="D431" s="7"/>
      <c r="E431" s="57">
        <v>1253</v>
      </c>
      <c r="F431" s="71">
        <f>E431*C431</f>
        <v>1253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4">
        <f>E431*C431+SUM(G431:O431)</f>
        <v>1253</v>
      </c>
      <c r="R431" s="7"/>
      <c r="S431" s="4">
        <f>Q431*$R$17</f>
        <v>15036</v>
      </c>
    </row>
    <row r="432" spans="1:19" ht="11.25" customHeight="1">
      <c r="A432" s="7"/>
      <c r="B432" s="31" t="s">
        <v>138</v>
      </c>
      <c r="C432" s="7">
        <v>4</v>
      </c>
      <c r="D432" s="7">
        <v>2</v>
      </c>
      <c r="E432" s="4">
        <v>1223</v>
      </c>
      <c r="F432" s="71">
        <f>E432*C432</f>
        <v>4892</v>
      </c>
      <c r="G432" s="7"/>
      <c r="H432" s="7"/>
      <c r="I432" s="7"/>
      <c r="J432" s="7"/>
      <c r="K432" s="7"/>
      <c r="L432" s="7"/>
      <c r="M432" s="7"/>
      <c r="N432" s="7">
        <f>F432*0.072</f>
        <v>352.224</v>
      </c>
      <c r="O432" s="7"/>
      <c r="P432" s="4">
        <f>SUM(G432:O432)</f>
        <v>352.224</v>
      </c>
      <c r="Q432" s="4">
        <f>E432*C432+SUM(G432:O432)</f>
        <v>5244.224</v>
      </c>
      <c r="R432" s="7"/>
      <c r="S432" s="4">
        <f>Q432*$R$17</f>
        <v>62930.688</v>
      </c>
    </row>
    <row r="433" spans="1:19" ht="11.25" customHeight="1">
      <c r="A433" s="8"/>
      <c r="B433" s="27" t="s">
        <v>369</v>
      </c>
      <c r="C433" s="8">
        <v>79.5</v>
      </c>
      <c r="D433" s="8">
        <v>1</v>
      </c>
      <c r="E433" s="8">
        <v>1218</v>
      </c>
      <c r="F433" s="74">
        <f>E433*C433</f>
        <v>96831</v>
      </c>
      <c r="G433" s="8"/>
      <c r="H433" s="8"/>
      <c r="I433" s="8"/>
      <c r="J433" s="8"/>
      <c r="K433" s="8"/>
      <c r="L433" s="8"/>
      <c r="M433" s="8"/>
      <c r="N433" s="8">
        <f>F433*0.072</f>
        <v>6971.831999999999</v>
      </c>
      <c r="O433" s="8"/>
      <c r="P433" s="9">
        <f>SUM(G433:O433)</f>
        <v>6971.831999999999</v>
      </c>
      <c r="Q433" s="9">
        <f>E433*C433+SUM(G433:O433)</f>
        <v>103802.832</v>
      </c>
      <c r="R433" s="66"/>
      <c r="S433" s="9">
        <f>Q433*$R$17</f>
        <v>1245633.984</v>
      </c>
    </row>
    <row r="434" spans="1:19" ht="11.25" customHeight="1">
      <c r="A434" s="10"/>
      <c r="B434" s="26" t="s">
        <v>40</v>
      </c>
      <c r="C434" s="10">
        <f>SUM(C430:C433)</f>
        <v>85.5</v>
      </c>
      <c r="D434" s="10"/>
      <c r="E434" s="10"/>
      <c r="F434" s="72">
        <f>SUM(F430:F433)</f>
        <v>104450</v>
      </c>
      <c r="G434" s="10"/>
      <c r="H434" s="10"/>
      <c r="I434" s="10"/>
      <c r="J434" s="10"/>
      <c r="K434" s="10"/>
      <c r="L434" s="10"/>
      <c r="M434" s="10"/>
      <c r="N434" s="10">
        <f>SUM(N430:N433)</f>
        <v>7324.056</v>
      </c>
      <c r="O434" s="10"/>
      <c r="P434" s="11">
        <f>SUM(P430:P433)</f>
        <v>7324.056</v>
      </c>
      <c r="Q434" s="11">
        <f>SUM(Q430:Q433)</f>
        <v>111774.056</v>
      </c>
      <c r="R434" s="11">
        <f>SUM(R430:R433)</f>
        <v>0</v>
      </c>
      <c r="S434" s="11">
        <f>SUM(S430:S433)</f>
        <v>1341288.672</v>
      </c>
    </row>
    <row r="435" spans="1:19" ht="74.25" customHeight="1">
      <c r="A435" s="3" t="s">
        <v>68</v>
      </c>
      <c r="B435" s="75" t="s">
        <v>433</v>
      </c>
      <c r="C435" s="3"/>
      <c r="D435" s="3"/>
      <c r="E435" s="5"/>
      <c r="F435" s="7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</row>
    <row r="436" spans="1:19" ht="12.75">
      <c r="A436" s="7"/>
      <c r="B436" s="31" t="s">
        <v>392</v>
      </c>
      <c r="C436" s="7">
        <v>1</v>
      </c>
      <c r="D436" s="7">
        <v>9</v>
      </c>
      <c r="E436" s="4">
        <v>1474</v>
      </c>
      <c r="F436" s="71">
        <f>E436*C436</f>
        <v>1474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4">
        <f>E436*C436+SUM(G436:O436)</f>
        <v>1474</v>
      </c>
      <c r="R436" s="7"/>
      <c r="S436" s="4">
        <f>Q436*$R$17</f>
        <v>17688</v>
      </c>
    </row>
    <row r="437" spans="1:19" ht="12.75">
      <c r="A437" s="8"/>
      <c r="B437" s="27" t="s">
        <v>51</v>
      </c>
      <c r="C437" s="8">
        <v>1</v>
      </c>
      <c r="D437" s="8">
        <v>7</v>
      </c>
      <c r="E437" s="4">
        <v>1312</v>
      </c>
      <c r="F437" s="71">
        <f>E437*C437</f>
        <v>1312</v>
      </c>
      <c r="G437" s="8"/>
      <c r="H437" s="8"/>
      <c r="I437" s="8"/>
      <c r="J437" s="8"/>
      <c r="K437" s="8"/>
      <c r="L437" s="8"/>
      <c r="M437" s="8"/>
      <c r="N437" s="8"/>
      <c r="O437" s="8"/>
      <c r="P437" s="7"/>
      <c r="Q437" s="4">
        <f>E437*C437+SUM(G437:O437)</f>
        <v>1312</v>
      </c>
      <c r="R437" s="7"/>
      <c r="S437" s="4">
        <f>Q437*$R$17</f>
        <v>15744</v>
      </c>
    </row>
    <row r="438" spans="1:19" ht="12.75">
      <c r="A438" s="10"/>
      <c r="B438" s="26" t="s">
        <v>40</v>
      </c>
      <c r="C438" s="10">
        <f>SUM(C436:C437)</f>
        <v>2</v>
      </c>
      <c r="D438" s="10"/>
      <c r="E438" s="11"/>
      <c r="F438" s="72">
        <f>SUM(F436:F437)</f>
        <v>2786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>
        <f>SUM(Q436:Q437)</f>
        <v>2786</v>
      </c>
      <c r="R438" s="11">
        <f>SUM(R436:R437)</f>
        <v>0</v>
      </c>
      <c r="S438" s="11">
        <f>SUM(S436:S437)</f>
        <v>33432</v>
      </c>
    </row>
    <row r="439" spans="1:19" ht="12.75">
      <c r="A439" s="3" t="s">
        <v>70</v>
      </c>
      <c r="B439" s="2" t="s">
        <v>274</v>
      </c>
      <c r="C439" s="3"/>
      <c r="D439" s="3"/>
      <c r="E439" s="5"/>
      <c r="F439" s="7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</row>
    <row r="440" spans="1:19" ht="12.75">
      <c r="A440" s="8"/>
      <c r="B440" s="27" t="s">
        <v>282</v>
      </c>
      <c r="C440" s="8">
        <v>1</v>
      </c>
      <c r="D440" s="8">
        <v>8</v>
      </c>
      <c r="E440" s="9">
        <v>1397</v>
      </c>
      <c r="F440" s="74">
        <f>E440*C440</f>
        <v>1397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9">
        <f>E440*C440+SUM(G440:O440)</f>
        <v>1397</v>
      </c>
      <c r="R440" s="8"/>
      <c r="S440" s="9">
        <f>Q440*$R$17</f>
        <v>16764</v>
      </c>
    </row>
    <row r="441" spans="1:19" ht="12.75">
      <c r="A441" s="10"/>
      <c r="B441" s="26" t="s">
        <v>40</v>
      </c>
      <c r="C441" s="10">
        <f>SUM(C440)</f>
        <v>1</v>
      </c>
      <c r="D441" s="10"/>
      <c r="E441" s="10"/>
      <c r="F441" s="72">
        <f>SUM(F440)</f>
        <v>1397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>
        <f>SUM(Q440)</f>
        <v>1397</v>
      </c>
      <c r="R441" s="10">
        <f>SUM(R440)</f>
        <v>0</v>
      </c>
      <c r="S441" s="10">
        <f>SUM(S440)</f>
        <v>16764</v>
      </c>
    </row>
    <row r="442" spans="1:19" ht="12.75" customHeight="1">
      <c r="A442" s="3" t="s">
        <v>71</v>
      </c>
      <c r="B442" s="2" t="s">
        <v>294</v>
      </c>
      <c r="C442" s="3"/>
      <c r="D442" s="3"/>
      <c r="E442" s="5"/>
      <c r="F442" s="7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</row>
    <row r="443" spans="1:19" ht="12.75" customHeight="1">
      <c r="A443" s="7"/>
      <c r="B443" s="31" t="s">
        <v>96</v>
      </c>
      <c r="C443" s="7">
        <v>1</v>
      </c>
      <c r="D443" s="7">
        <v>10</v>
      </c>
      <c r="E443" s="4">
        <v>1551</v>
      </c>
      <c r="F443" s="71">
        <f aca="true" t="shared" si="47" ref="F443:F448">E443*C443</f>
        <v>1551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4">
        <f aca="true" t="shared" si="48" ref="Q443:Q448">E443*C443+SUM(G443:O443)</f>
        <v>1551</v>
      </c>
      <c r="R443" s="7"/>
      <c r="S443" s="4">
        <f aca="true" t="shared" si="49" ref="S443:S448">Q443*$R$17</f>
        <v>18612</v>
      </c>
    </row>
    <row r="444" spans="1:19" ht="12.75" customHeight="1">
      <c r="A444" s="7"/>
      <c r="B444" s="31" t="s">
        <v>514</v>
      </c>
      <c r="C444" s="7">
        <v>1</v>
      </c>
      <c r="D444" s="7"/>
      <c r="E444" s="4">
        <v>1473</v>
      </c>
      <c r="F444" s="57">
        <f t="shared" si="47"/>
        <v>1473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4">
        <f t="shared" si="48"/>
        <v>1473</v>
      </c>
      <c r="R444" s="7"/>
      <c r="S444" s="4">
        <f t="shared" si="49"/>
        <v>17676</v>
      </c>
    </row>
    <row r="445" spans="1:19" ht="12.75" customHeight="1">
      <c r="A445" s="7"/>
      <c r="B445" s="31" t="s">
        <v>420</v>
      </c>
      <c r="C445" s="7">
        <v>1</v>
      </c>
      <c r="D445" s="7">
        <v>7</v>
      </c>
      <c r="E445" s="4">
        <v>1312</v>
      </c>
      <c r="F445" s="57">
        <f t="shared" si="47"/>
        <v>1312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4">
        <f t="shared" si="48"/>
        <v>1312</v>
      </c>
      <c r="R445" s="7"/>
      <c r="S445" s="4">
        <f t="shared" si="49"/>
        <v>15744</v>
      </c>
    </row>
    <row r="446" spans="1:19" ht="24" customHeight="1">
      <c r="A446" s="7"/>
      <c r="B446" s="31" t="s">
        <v>295</v>
      </c>
      <c r="C446" s="7">
        <v>1</v>
      </c>
      <c r="D446" s="7">
        <v>8</v>
      </c>
      <c r="E446" s="4">
        <v>1397</v>
      </c>
      <c r="F446" s="57">
        <f t="shared" si="47"/>
        <v>1397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4">
        <f t="shared" si="48"/>
        <v>1397</v>
      </c>
      <c r="R446" s="7"/>
      <c r="S446" s="4">
        <f t="shared" si="49"/>
        <v>16764</v>
      </c>
    </row>
    <row r="447" spans="1:19" ht="24" customHeight="1">
      <c r="A447" s="7"/>
      <c r="B447" s="31" t="s">
        <v>296</v>
      </c>
      <c r="C447" s="7">
        <v>1</v>
      </c>
      <c r="D447" s="7">
        <v>7</v>
      </c>
      <c r="E447" s="4">
        <v>1312</v>
      </c>
      <c r="F447" s="57">
        <f t="shared" si="47"/>
        <v>1312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4">
        <f t="shared" si="48"/>
        <v>1312</v>
      </c>
      <c r="R447" s="7"/>
      <c r="S447" s="4">
        <f t="shared" si="49"/>
        <v>15744</v>
      </c>
    </row>
    <row r="448" spans="1:19" ht="24" customHeight="1">
      <c r="A448" s="7"/>
      <c r="B448" s="31" t="s">
        <v>455</v>
      </c>
      <c r="C448" s="7">
        <v>1</v>
      </c>
      <c r="D448" s="7">
        <v>10</v>
      </c>
      <c r="E448" s="4">
        <v>1551</v>
      </c>
      <c r="F448" s="71">
        <f t="shared" si="47"/>
        <v>1551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4">
        <f t="shared" si="48"/>
        <v>1551</v>
      </c>
      <c r="R448" s="7"/>
      <c r="S448" s="4">
        <f t="shared" si="49"/>
        <v>18612</v>
      </c>
    </row>
    <row r="449" spans="1:19" ht="12.75" customHeight="1">
      <c r="A449" s="10"/>
      <c r="B449" s="26" t="s">
        <v>40</v>
      </c>
      <c r="C449" s="10">
        <f>SUM(C443:C448)</f>
        <v>6</v>
      </c>
      <c r="D449" s="10"/>
      <c r="E449" s="10"/>
      <c r="F449" s="72">
        <f>SUM(F443:F448)</f>
        <v>8596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>
        <f>SUM(Q443:Q448)</f>
        <v>8596</v>
      </c>
      <c r="R449" s="10">
        <f>SUM(R443:R448)</f>
        <v>0</v>
      </c>
      <c r="S449" s="10">
        <f>SUM(S443:S448)</f>
        <v>103152</v>
      </c>
    </row>
    <row r="450" spans="1:19" ht="12.75">
      <c r="A450" s="3" t="s">
        <v>72</v>
      </c>
      <c r="B450" s="2" t="s">
        <v>189</v>
      </c>
      <c r="C450" s="3"/>
      <c r="D450" s="3"/>
      <c r="E450" s="3"/>
      <c r="F450" s="7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37.5" customHeight="1">
      <c r="A451" s="7"/>
      <c r="B451" s="31" t="s">
        <v>515</v>
      </c>
      <c r="C451" s="7"/>
      <c r="D451" s="7"/>
      <c r="E451" s="7"/>
      <c r="F451" s="7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4"/>
      <c r="R451" s="7"/>
      <c r="S451" s="4"/>
    </row>
    <row r="452" spans="1:19" ht="12.75">
      <c r="A452" s="8"/>
      <c r="B452" s="120" t="s">
        <v>216</v>
      </c>
      <c r="C452" s="8">
        <v>1</v>
      </c>
      <c r="D452" s="8">
        <v>2</v>
      </c>
      <c r="E452" s="9">
        <v>1223</v>
      </c>
      <c r="F452" s="7">
        <f>E452*C452</f>
        <v>1223</v>
      </c>
      <c r="G452" s="8"/>
      <c r="H452" s="8"/>
      <c r="I452" s="8"/>
      <c r="J452" s="8"/>
      <c r="K452" s="8"/>
      <c r="L452" s="8"/>
      <c r="M452" s="8"/>
      <c r="N452" s="8"/>
      <c r="O452" s="9"/>
      <c r="P452" s="4"/>
      <c r="Q452" s="4">
        <f>E452*C452+SUM(G452:O452)</f>
        <v>1223</v>
      </c>
      <c r="R452" s="44"/>
      <c r="S452" s="4">
        <f>Q452*$R$17</f>
        <v>14676</v>
      </c>
    </row>
    <row r="453" spans="1:19" ht="12.75">
      <c r="A453" s="10"/>
      <c r="B453" s="26" t="s">
        <v>40</v>
      </c>
      <c r="C453" s="10">
        <f>SUM(C452:C452)</f>
        <v>1</v>
      </c>
      <c r="D453" s="10"/>
      <c r="E453" s="10"/>
      <c r="F453" s="10">
        <f>SUM(F452:F452)</f>
        <v>1223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>
        <f>SUM(Q452:Q452)</f>
        <v>1223</v>
      </c>
      <c r="R453" s="10">
        <f>SUM(R452:R452)</f>
        <v>0</v>
      </c>
      <c r="S453" s="10">
        <f>SUM(S452:S452)</f>
        <v>14676</v>
      </c>
    </row>
    <row r="454" spans="1:19" ht="12.75">
      <c r="A454" s="3" t="s">
        <v>74</v>
      </c>
      <c r="B454" s="2" t="s">
        <v>158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8"/>
      <c r="B455" s="27" t="s">
        <v>159</v>
      </c>
      <c r="C455" s="8">
        <v>2</v>
      </c>
      <c r="D455" s="8">
        <v>2</v>
      </c>
      <c r="E455" s="59">
        <v>1223</v>
      </c>
      <c r="F455" s="7">
        <f>E455*C455</f>
        <v>2446</v>
      </c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4">
        <f>E455*C455+SUM(G455:O455)</f>
        <v>2446</v>
      </c>
      <c r="R455" s="44"/>
      <c r="S455" s="4">
        <f>Q455*$R$17</f>
        <v>29352</v>
      </c>
    </row>
    <row r="456" spans="1:19" ht="12.75">
      <c r="A456" s="10"/>
      <c r="B456" s="26" t="s">
        <v>40</v>
      </c>
      <c r="C456" s="10">
        <f>SUM(C455)</f>
        <v>2</v>
      </c>
      <c r="D456" s="10"/>
      <c r="E456" s="10"/>
      <c r="F456" s="10">
        <f>SUM(F455:F455)</f>
        <v>2446</v>
      </c>
      <c r="G456" s="3"/>
      <c r="H456" s="3"/>
      <c r="I456" s="3"/>
      <c r="J456" s="3"/>
      <c r="K456" s="3"/>
      <c r="L456" s="3"/>
      <c r="M456" s="3"/>
      <c r="N456" s="3"/>
      <c r="O456" s="3"/>
      <c r="P456" s="10"/>
      <c r="Q456" s="10">
        <f>SUM(Q455:Q455)</f>
        <v>2446</v>
      </c>
      <c r="R456" s="10">
        <f>SUM(R455:R455)</f>
        <v>0</v>
      </c>
      <c r="S456" s="10">
        <f>SUM(S455:S455)</f>
        <v>29352</v>
      </c>
    </row>
    <row r="457" spans="1:21" ht="12.75">
      <c r="A457" s="10"/>
      <c r="B457" s="26" t="s">
        <v>370</v>
      </c>
      <c r="C457" s="10">
        <f>C301+C311+C314+C317+C321+C335+C341+C348+C353+C361+C366+C377+C382+C393+C406+C423+C428+C434+C438+C449+C441+C453+C456</f>
        <v>413.5</v>
      </c>
      <c r="D457" s="10"/>
      <c r="E457" s="10"/>
      <c r="F457" s="10">
        <f>F301+F311+F314+F317+F321+F335+F341+F348+F353+F361+F366+F377+F382+F393+F406+F423+F428+F434+F438+F449+F441+F453+F456</f>
        <v>537045.5</v>
      </c>
      <c r="G457" s="10">
        <f>G301+G311+G314+G317+G321+G335+G341+G348+G353+G361+G366+G377+G382+G393+G406+G423+G428+G434+G438+G449+G441+G453+G456</f>
        <v>20074</v>
      </c>
      <c r="H457" s="10"/>
      <c r="I457" s="10">
        <f>I301+I311+I314+I317+I321+I335+I341+I348+I353+I361+I366+I377+I382+I393+I406+I423+I428+I434+I438+I449+I441+I453+I456</f>
        <v>6347</v>
      </c>
      <c r="J457" s="10"/>
      <c r="K457" s="10"/>
      <c r="L457" s="10"/>
      <c r="M457" s="10"/>
      <c r="N457" s="10">
        <f aca="true" t="shared" si="50" ref="N457:S457">N301+N311+N314+N317+N321+N335+N341+N348+N353+N361+N366+N377+N382+N393+N406+N423+N428+N434+N438+N449+N441+N453+N456</f>
        <v>7324.056</v>
      </c>
      <c r="O457" s="11">
        <f t="shared" si="50"/>
        <v>6577.200000000001</v>
      </c>
      <c r="P457" s="11">
        <f t="shared" si="50"/>
        <v>40322.255999999994</v>
      </c>
      <c r="Q457" s="11">
        <f t="shared" si="50"/>
        <v>577367.756</v>
      </c>
      <c r="R457" s="11">
        <f t="shared" si="50"/>
        <v>0</v>
      </c>
      <c r="S457" s="11">
        <f t="shared" si="50"/>
        <v>6928413.072000001</v>
      </c>
      <c r="T457" s="133"/>
      <c r="U457" s="134"/>
    </row>
    <row r="458" spans="1:21" ht="12" customHeight="1">
      <c r="A458" s="200" t="s">
        <v>325</v>
      </c>
      <c r="B458" s="201"/>
      <c r="C458" s="22">
        <f>C51+C291+C457</f>
        <v>878.3</v>
      </c>
      <c r="D458" s="11"/>
      <c r="E458" s="11"/>
      <c r="F458" s="11">
        <f aca="true" t="shared" si="51" ref="F458:R458">F51+F291+F457</f>
        <v>1597275.6</v>
      </c>
      <c r="G458" s="11">
        <f t="shared" si="51"/>
        <v>20631.25</v>
      </c>
      <c r="H458" s="11">
        <f t="shared" si="51"/>
        <v>4475.225</v>
      </c>
      <c r="I458" s="11">
        <v>190424</v>
      </c>
      <c r="J458" s="11">
        <f t="shared" si="51"/>
        <v>98879.6625</v>
      </c>
      <c r="K458" s="11">
        <f t="shared" si="51"/>
        <v>142009.7225</v>
      </c>
      <c r="L458" s="11">
        <f t="shared" si="51"/>
        <v>2256</v>
      </c>
      <c r="M458" s="11">
        <f t="shared" si="51"/>
        <v>11787.7</v>
      </c>
      <c r="N458" s="11">
        <f t="shared" si="51"/>
        <v>7324.056</v>
      </c>
      <c r="O458" s="11">
        <f t="shared" si="51"/>
        <v>7536.360000000001</v>
      </c>
      <c r="P458" s="11">
        <f t="shared" si="51"/>
        <v>482324.39849999995</v>
      </c>
      <c r="Q458" s="11">
        <v>2082600</v>
      </c>
      <c r="R458" s="11">
        <f t="shared" si="51"/>
        <v>0</v>
      </c>
      <c r="S458" s="11">
        <v>24991200</v>
      </c>
      <c r="T458" s="119"/>
      <c r="U458" s="118"/>
    </row>
    <row r="459" spans="1:21" ht="12" customHeight="1">
      <c r="A459" s="116" t="s">
        <v>417</v>
      </c>
      <c r="B459" s="117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>
        <v>83300</v>
      </c>
      <c r="R459" s="11"/>
      <c r="S459" s="4">
        <f>Q459*$R$17+7900</f>
        <v>1007500</v>
      </c>
      <c r="T459" s="12"/>
      <c r="U459" s="118"/>
    </row>
    <row r="460" spans="1:21" ht="12" customHeight="1">
      <c r="A460" s="179" t="s">
        <v>418</v>
      </c>
      <c r="B460" s="178"/>
      <c r="C460" s="11"/>
      <c r="D460" s="22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2"/>
      <c r="U460" s="12"/>
    </row>
    <row r="461" spans="1:22" ht="12.75" customHeight="1">
      <c r="A461" s="178" t="s">
        <v>458</v>
      </c>
      <c r="B461" s="181"/>
      <c r="C461" s="11"/>
      <c r="D461" s="22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>
        <f>F23+F46+F48+F406-260</f>
        <v>859999.6</v>
      </c>
      <c r="T461" s="12"/>
      <c r="U461" s="12"/>
      <c r="V461" s="12"/>
    </row>
    <row r="462" spans="1:22" ht="38.25" customHeight="1">
      <c r="A462" s="165" t="s">
        <v>445</v>
      </c>
      <c r="B462" s="166"/>
      <c r="C462" s="11"/>
      <c r="D462" s="22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9"/>
      <c r="R462" s="9"/>
      <c r="S462" s="4">
        <v>102300</v>
      </c>
      <c r="T462" s="12">
        <f>2268200-2165900</f>
        <v>102300</v>
      </c>
      <c r="U462" s="12"/>
      <c r="V462" s="12"/>
    </row>
    <row r="463" spans="1:22" ht="12.75" customHeight="1">
      <c r="A463" s="167" t="s">
        <v>150</v>
      </c>
      <c r="B463" s="168"/>
      <c r="C463" s="22">
        <f>SUM(C458:C462)</f>
        <v>878.3</v>
      </c>
      <c r="D463" s="22"/>
      <c r="E463" s="22"/>
      <c r="F463" s="11">
        <f aca="true" t="shared" si="52" ref="F463:S463">SUM(F458:F462)</f>
        <v>1597275.6</v>
      </c>
      <c r="G463" s="11">
        <f t="shared" si="52"/>
        <v>20631.25</v>
      </c>
      <c r="H463" s="11">
        <f t="shared" si="52"/>
        <v>4475.225</v>
      </c>
      <c r="I463" s="11">
        <v>190424</v>
      </c>
      <c r="J463" s="11">
        <f t="shared" si="52"/>
        <v>98879.6625</v>
      </c>
      <c r="K463" s="11">
        <f t="shared" si="52"/>
        <v>142009.7225</v>
      </c>
      <c r="L463" s="11">
        <f t="shared" si="52"/>
        <v>2256</v>
      </c>
      <c r="M463" s="11">
        <f t="shared" si="52"/>
        <v>11787.7</v>
      </c>
      <c r="N463" s="11">
        <f t="shared" si="52"/>
        <v>7324.056</v>
      </c>
      <c r="O463" s="11">
        <f t="shared" si="52"/>
        <v>7536.360000000001</v>
      </c>
      <c r="P463" s="11">
        <f t="shared" si="52"/>
        <v>482324.39849999995</v>
      </c>
      <c r="Q463" s="109">
        <f t="shared" si="52"/>
        <v>2165900</v>
      </c>
      <c r="R463" s="11">
        <f t="shared" si="52"/>
        <v>0</v>
      </c>
      <c r="S463" s="11">
        <f t="shared" si="52"/>
        <v>26960999.6</v>
      </c>
      <c r="T463" s="12"/>
      <c r="U463" s="12"/>
      <c r="V463" s="12"/>
    </row>
    <row r="464" spans="1:21" ht="19.5" customHeight="1">
      <c r="A464" s="157" t="s">
        <v>151</v>
      </c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9"/>
      <c r="T464" s="12">
        <v>2165900</v>
      </c>
      <c r="U464" s="12">
        <v>26961000</v>
      </c>
    </row>
    <row r="465" spans="1:21" ht="19.5" customHeight="1">
      <c r="A465" s="157" t="s">
        <v>5</v>
      </c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9"/>
      <c r="T465" s="12"/>
      <c r="U465" s="12"/>
    </row>
    <row r="466" spans="1:21" ht="25.5" customHeight="1">
      <c r="A466" s="10">
        <v>1</v>
      </c>
      <c r="B466" s="20" t="s">
        <v>561</v>
      </c>
      <c r="C466" s="68"/>
      <c r="D466" s="68"/>
      <c r="E466" s="68"/>
      <c r="F466" s="68"/>
      <c r="G466" s="11">
        <f>E17*C17*0.35</f>
        <v>1300.25</v>
      </c>
      <c r="H466" s="68"/>
      <c r="I466" s="69"/>
      <c r="J466" s="68"/>
      <c r="K466" s="68"/>
      <c r="L466" s="68"/>
      <c r="M466" s="68"/>
      <c r="N466" s="68"/>
      <c r="O466" s="68"/>
      <c r="P466" s="11">
        <f>SUM(G466:O466)</f>
        <v>1300.25</v>
      </c>
      <c r="Q466" s="11">
        <f>E466*C466+SUM(G466:O466)</f>
        <v>1300.25</v>
      </c>
      <c r="R466" s="11"/>
      <c r="S466" s="9">
        <f>Q466*$R$17</f>
        <v>15603</v>
      </c>
      <c r="T466" s="12"/>
      <c r="U466" s="12">
        <f>U464-S463</f>
        <v>0.3999999985098839</v>
      </c>
    </row>
    <row r="467" spans="1:21" ht="25.5" customHeight="1">
      <c r="A467" s="10">
        <v>2</v>
      </c>
      <c r="B467" s="26" t="s">
        <v>516</v>
      </c>
      <c r="C467" s="10">
        <v>1</v>
      </c>
      <c r="D467" s="10"/>
      <c r="E467" s="10">
        <v>3344</v>
      </c>
      <c r="F467" s="10">
        <f>E467*C467</f>
        <v>3344</v>
      </c>
      <c r="G467" s="11">
        <f>E467*C467*0.5</f>
        <v>1672</v>
      </c>
      <c r="H467" s="11">
        <f>F467*0.2</f>
        <v>668.8000000000001</v>
      </c>
      <c r="I467" s="11">
        <f>E467*C467*0.3</f>
        <v>1003.1999999999999</v>
      </c>
      <c r="J467" s="11">
        <f>E467*C467*0.2</f>
        <v>668.8000000000001</v>
      </c>
      <c r="K467" s="11">
        <f>E467*C467*0.33</f>
        <v>1103.52</v>
      </c>
      <c r="L467" s="10"/>
      <c r="M467" s="10"/>
      <c r="N467" s="10"/>
      <c r="O467" s="10"/>
      <c r="P467" s="11">
        <f>SUM(G467:O467)</f>
        <v>5116.32</v>
      </c>
      <c r="Q467" s="11">
        <f>E467*C467+SUM(G467:O467)</f>
        <v>8460.32</v>
      </c>
      <c r="R467" s="11"/>
      <c r="S467" s="11">
        <f>Q467*$R$17</f>
        <v>101523.84</v>
      </c>
      <c r="T467" s="12">
        <f>T464-Q463</f>
        <v>0</v>
      </c>
      <c r="U467" s="12"/>
    </row>
    <row r="468" spans="1:20" ht="12.75" customHeight="1">
      <c r="A468" s="10">
        <v>3</v>
      </c>
      <c r="B468" s="26" t="s">
        <v>559</v>
      </c>
      <c r="C468" s="10">
        <v>1</v>
      </c>
      <c r="D468" s="10"/>
      <c r="E468" s="10">
        <v>3344</v>
      </c>
      <c r="F468" s="10">
        <f>E468*C468</f>
        <v>3344</v>
      </c>
      <c r="G468" s="11">
        <f>E468*C468*0.5</f>
        <v>1672</v>
      </c>
      <c r="H468" s="11"/>
      <c r="I468" s="11">
        <f>E468*C468*0.1</f>
        <v>334.40000000000003</v>
      </c>
      <c r="J468" s="11">
        <f>E468*C468*0.2</f>
        <v>668.8000000000001</v>
      </c>
      <c r="K468" s="11">
        <f>E468*C468*0.33</f>
        <v>1103.52</v>
      </c>
      <c r="L468" s="10"/>
      <c r="M468" s="10"/>
      <c r="N468" s="10"/>
      <c r="O468" s="10"/>
      <c r="P468" s="11">
        <f>SUM(G468:O468)</f>
        <v>3778.7200000000003</v>
      </c>
      <c r="Q468" s="11">
        <f>E468*C468+SUM(G468:O468)</f>
        <v>7122.72</v>
      </c>
      <c r="R468" s="11"/>
      <c r="S468" s="9">
        <f>Q468*$R$17</f>
        <v>85472.64</v>
      </c>
      <c r="T468" s="12"/>
    </row>
    <row r="469" spans="1:20" ht="12.75" customHeight="1">
      <c r="A469" s="10"/>
      <c r="B469" s="26" t="s">
        <v>12</v>
      </c>
      <c r="C469" s="10"/>
      <c r="D469" s="10"/>
      <c r="E469" s="10"/>
      <c r="F469" s="10"/>
      <c r="G469" s="11">
        <f>3280*0.5*3</f>
        <v>4920</v>
      </c>
      <c r="H469" s="10"/>
      <c r="I469" s="10"/>
      <c r="J469" s="10"/>
      <c r="K469" s="10"/>
      <c r="L469" s="10"/>
      <c r="M469" s="10"/>
      <c r="N469" s="10"/>
      <c r="O469" s="10"/>
      <c r="P469" s="11">
        <f>SUM(G469:O469)</f>
        <v>4920</v>
      </c>
      <c r="Q469" s="11">
        <f>E469*C469+SUM(G469:O469)</f>
        <v>4920</v>
      </c>
      <c r="R469" s="11"/>
      <c r="S469" s="9">
        <f>Q469*$R$17</f>
        <v>59040</v>
      </c>
      <c r="T469" s="12"/>
    </row>
    <row r="470" spans="1:20" ht="12.75" customHeight="1">
      <c r="A470" s="10"/>
      <c r="B470" s="26" t="s">
        <v>152</v>
      </c>
      <c r="C470" s="10">
        <f>SUM(C466:C469)</f>
        <v>2</v>
      </c>
      <c r="D470" s="10"/>
      <c r="E470" s="10"/>
      <c r="F470" s="10">
        <f aca="true" t="shared" si="53" ref="F470:K470">SUM(F466:F469)</f>
        <v>6688</v>
      </c>
      <c r="G470" s="11">
        <f t="shared" si="53"/>
        <v>9564.25</v>
      </c>
      <c r="H470" s="11">
        <f t="shared" si="53"/>
        <v>668.8000000000001</v>
      </c>
      <c r="I470" s="11">
        <f t="shared" si="53"/>
        <v>1337.6</v>
      </c>
      <c r="J470" s="11">
        <f t="shared" si="53"/>
        <v>1337.6000000000001</v>
      </c>
      <c r="K470" s="11">
        <f t="shared" si="53"/>
        <v>2207.04</v>
      </c>
      <c r="L470" s="11"/>
      <c r="M470" s="11"/>
      <c r="N470" s="11"/>
      <c r="O470" s="11"/>
      <c r="P470" s="11">
        <f>SUM(P466:P469)</f>
        <v>15115.29</v>
      </c>
      <c r="Q470" s="11">
        <f>SUM(Q466:Q469)</f>
        <v>21803.29</v>
      </c>
      <c r="R470" s="11">
        <f>SUM(R466:R469)</f>
        <v>0</v>
      </c>
      <c r="S470" s="11">
        <f>SUM(S466:S469)</f>
        <v>261639.47999999998</v>
      </c>
      <c r="T470" s="12"/>
    </row>
    <row r="471" spans="1:20" ht="15" customHeight="1">
      <c r="A471" s="157" t="s">
        <v>303</v>
      </c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9"/>
      <c r="T471" s="12"/>
    </row>
    <row r="472" spans="1:20" ht="12.75" customHeight="1">
      <c r="A472" s="7">
        <v>1</v>
      </c>
      <c r="B472" s="45" t="s">
        <v>518</v>
      </c>
      <c r="C472" s="47">
        <v>4.75</v>
      </c>
      <c r="D472" s="4">
        <v>20</v>
      </c>
      <c r="E472" s="7">
        <v>3101</v>
      </c>
      <c r="F472" s="4">
        <f aca="true" t="shared" si="54" ref="F472:F483">E472*C472</f>
        <v>14729.75</v>
      </c>
      <c r="G472" s="7"/>
      <c r="H472" s="4">
        <f>E472*0.25</f>
        <v>775.25</v>
      </c>
      <c r="I472" s="4">
        <f>E472*C472*0.3</f>
        <v>4418.925</v>
      </c>
      <c r="J472" s="4">
        <f>E472*C472*0.2</f>
        <v>2945.9500000000003</v>
      </c>
      <c r="K472" s="4">
        <f>E472*C472*0.33</f>
        <v>4860.8175</v>
      </c>
      <c r="L472" s="7"/>
      <c r="M472" s="7"/>
      <c r="N472" s="7"/>
      <c r="O472" s="7"/>
      <c r="P472" s="4">
        <f aca="true" t="shared" si="55" ref="P472:P483">SUM(G472:O472)</f>
        <v>13000.942500000001</v>
      </c>
      <c r="Q472" s="5">
        <f aca="true" t="shared" si="56" ref="Q472:Q483">E472*C472+SUM(G472:O472)</f>
        <v>27730.6925</v>
      </c>
      <c r="R472" s="46"/>
      <c r="S472" s="5">
        <f aca="true" t="shared" si="57" ref="S472:S483">Q472*$R$17</f>
        <v>332768.31</v>
      </c>
      <c r="T472" s="12"/>
    </row>
    <row r="473" spans="1:20" ht="12.75" customHeight="1">
      <c r="A473" s="7">
        <f aca="true" t="shared" si="58" ref="A473:A483">A472+1</f>
        <v>2</v>
      </c>
      <c r="B473" s="31" t="s">
        <v>217</v>
      </c>
      <c r="C473" s="47">
        <f>49.25</f>
        <v>49.25</v>
      </c>
      <c r="D473" s="7">
        <v>19</v>
      </c>
      <c r="E473" s="7">
        <v>2914</v>
      </c>
      <c r="F473" s="7">
        <f t="shared" si="54"/>
        <v>143514.5</v>
      </c>
      <c r="G473" s="47"/>
      <c r="H473" s="4">
        <f>E473*2.25*0.2</f>
        <v>1311.3000000000002</v>
      </c>
      <c r="I473" s="4">
        <f>F473*0.12-13.2+66.82</f>
        <v>17275.359999999997</v>
      </c>
      <c r="J473" s="4">
        <f>F473*0.12</f>
        <v>17221.739999999998</v>
      </c>
      <c r="K473" s="4">
        <f>E473*C473*0.25</f>
        <v>35878.625</v>
      </c>
      <c r="L473" s="7"/>
      <c r="M473" s="4">
        <f>E473*1*0.3</f>
        <v>874.1999999999999</v>
      </c>
      <c r="N473" s="7"/>
      <c r="O473" s="7"/>
      <c r="P473" s="4">
        <f t="shared" si="55"/>
        <v>72561.22499999999</v>
      </c>
      <c r="Q473" s="4">
        <f t="shared" si="56"/>
        <v>216075.72499999998</v>
      </c>
      <c r="R473" s="4"/>
      <c r="S473" s="4">
        <f t="shared" si="57"/>
        <v>2592908.6999999997</v>
      </c>
      <c r="T473" s="12"/>
    </row>
    <row r="474" spans="1:20" ht="12.75" customHeight="1">
      <c r="A474" s="7">
        <f t="shared" si="58"/>
        <v>3</v>
      </c>
      <c r="B474" s="31" t="s">
        <v>474</v>
      </c>
      <c r="C474" s="47">
        <v>6</v>
      </c>
      <c r="D474" s="7">
        <v>19</v>
      </c>
      <c r="E474" s="7">
        <v>2914</v>
      </c>
      <c r="F474" s="7">
        <f t="shared" si="54"/>
        <v>17484</v>
      </c>
      <c r="G474" s="44"/>
      <c r="H474" s="7"/>
      <c r="I474" s="4">
        <f>E474*C474*0.1</f>
        <v>1748.4</v>
      </c>
      <c r="J474" s="4">
        <f>E474*5.25*0.12</f>
        <v>1835.82</v>
      </c>
      <c r="K474" s="65"/>
      <c r="L474" s="7"/>
      <c r="M474" s="7"/>
      <c r="N474" s="7"/>
      <c r="O474" s="7"/>
      <c r="P474" s="4">
        <f t="shared" si="55"/>
        <v>3584.2200000000003</v>
      </c>
      <c r="Q474" s="4">
        <f t="shared" si="56"/>
        <v>21068.22</v>
      </c>
      <c r="R474" s="4"/>
      <c r="S474" s="4">
        <f t="shared" si="57"/>
        <v>252818.64</v>
      </c>
      <c r="T474" s="12"/>
    </row>
    <row r="475" spans="1:20" ht="12.75" customHeight="1">
      <c r="A475" s="7">
        <f t="shared" si="58"/>
        <v>4</v>
      </c>
      <c r="B475" s="31" t="s">
        <v>218</v>
      </c>
      <c r="C475" s="47">
        <v>36.75</v>
      </c>
      <c r="D475" s="7">
        <v>16</v>
      </c>
      <c r="E475" s="7">
        <v>2377</v>
      </c>
      <c r="F475" s="7">
        <f t="shared" si="54"/>
        <v>87354.75</v>
      </c>
      <c r="G475" s="47"/>
      <c r="H475" s="7"/>
      <c r="I475" s="4">
        <f>E475*C475*0.2+736.49+557.31</f>
        <v>18764.750000000004</v>
      </c>
      <c r="J475" s="4">
        <f>E475*26.25*0.12</f>
        <v>7487.549999999999</v>
      </c>
      <c r="K475" s="4"/>
      <c r="L475" s="7"/>
      <c r="M475" s="7"/>
      <c r="N475" s="7"/>
      <c r="O475" s="7"/>
      <c r="P475" s="4">
        <f t="shared" si="55"/>
        <v>26252.300000000003</v>
      </c>
      <c r="Q475" s="4">
        <f t="shared" si="56"/>
        <v>113607.05</v>
      </c>
      <c r="R475" s="4"/>
      <c r="S475" s="4">
        <f t="shared" si="57"/>
        <v>1363284.6</v>
      </c>
      <c r="T475" s="12"/>
    </row>
    <row r="476" spans="1:20" ht="12.75" customHeight="1">
      <c r="A476" s="7">
        <f t="shared" si="58"/>
        <v>5</v>
      </c>
      <c r="B476" s="31" t="s">
        <v>432</v>
      </c>
      <c r="C476" s="47">
        <v>4</v>
      </c>
      <c r="D476" s="7">
        <v>17</v>
      </c>
      <c r="E476" s="7">
        <v>2556</v>
      </c>
      <c r="F476" s="7">
        <f t="shared" si="54"/>
        <v>10224</v>
      </c>
      <c r="G476" s="47"/>
      <c r="H476" s="7"/>
      <c r="I476" s="4">
        <f>E476*C476*0.1</f>
        <v>1022.4000000000001</v>
      </c>
      <c r="J476" s="4">
        <f>E476*2*0.15</f>
        <v>766.8</v>
      </c>
      <c r="K476" s="4"/>
      <c r="L476" s="7"/>
      <c r="M476" s="7"/>
      <c r="N476" s="7"/>
      <c r="O476" s="7"/>
      <c r="P476" s="4">
        <f t="shared" si="55"/>
        <v>1789.2</v>
      </c>
      <c r="Q476" s="4">
        <f t="shared" si="56"/>
        <v>12013.2</v>
      </c>
      <c r="R476" s="4"/>
      <c r="S476" s="4">
        <f t="shared" si="57"/>
        <v>144158.40000000002</v>
      </c>
      <c r="T476" s="12"/>
    </row>
    <row r="477" spans="1:20" ht="12.75" customHeight="1">
      <c r="A477" s="7">
        <f t="shared" si="58"/>
        <v>6</v>
      </c>
      <c r="B477" s="31" t="s">
        <v>537</v>
      </c>
      <c r="C477" s="47">
        <v>1</v>
      </c>
      <c r="D477" s="7">
        <v>17</v>
      </c>
      <c r="E477" s="7">
        <v>2556</v>
      </c>
      <c r="F477" s="7">
        <f t="shared" si="54"/>
        <v>2556</v>
      </c>
      <c r="G477" s="47"/>
      <c r="H477" s="4"/>
      <c r="I477" s="4">
        <f>E477*C477*0.3</f>
        <v>766.8</v>
      </c>
      <c r="J477" s="4">
        <f>E477*C477*0.15</f>
        <v>383.4</v>
      </c>
      <c r="K477" s="4"/>
      <c r="L477" s="7"/>
      <c r="M477" s="7"/>
      <c r="N477" s="7"/>
      <c r="O477" s="7"/>
      <c r="P477" s="4">
        <f t="shared" si="55"/>
        <v>1150.1999999999998</v>
      </c>
      <c r="Q477" s="4">
        <f t="shared" si="56"/>
        <v>3706.2</v>
      </c>
      <c r="R477" s="4"/>
      <c r="S477" s="4">
        <f t="shared" si="57"/>
        <v>44474.399999999994</v>
      </c>
      <c r="T477" s="12"/>
    </row>
    <row r="478" spans="1:20" ht="12.75" customHeight="1">
      <c r="A478" s="7">
        <f t="shared" si="58"/>
        <v>7</v>
      </c>
      <c r="B478" s="31" t="s">
        <v>538</v>
      </c>
      <c r="C478" s="47">
        <v>3.75</v>
      </c>
      <c r="D478" s="7">
        <v>17</v>
      </c>
      <c r="E478" s="7">
        <v>2556</v>
      </c>
      <c r="F478" s="7">
        <f t="shared" si="54"/>
        <v>9585</v>
      </c>
      <c r="G478" s="47"/>
      <c r="H478" s="4">
        <f>E478*C478*0.1</f>
        <v>958.5</v>
      </c>
      <c r="I478" s="4">
        <f>E478*C478*0.3</f>
        <v>2875.5</v>
      </c>
      <c r="J478" s="4"/>
      <c r="K478" s="4"/>
      <c r="L478" s="7"/>
      <c r="M478" s="7"/>
      <c r="N478" s="7"/>
      <c r="O478" s="7"/>
      <c r="P478" s="4">
        <f t="shared" si="55"/>
        <v>3834</v>
      </c>
      <c r="Q478" s="4">
        <f t="shared" si="56"/>
        <v>13419</v>
      </c>
      <c r="R478" s="4"/>
      <c r="S478" s="4">
        <f t="shared" si="57"/>
        <v>161028</v>
      </c>
      <c r="T478" s="12"/>
    </row>
    <row r="479" spans="1:20" ht="12.75" customHeight="1">
      <c r="A479" s="7">
        <f t="shared" si="58"/>
        <v>8</v>
      </c>
      <c r="B479" s="31" t="s">
        <v>27</v>
      </c>
      <c r="C479" s="47">
        <v>41.5</v>
      </c>
      <c r="D479" s="7">
        <v>17</v>
      </c>
      <c r="E479" s="7">
        <v>2556</v>
      </c>
      <c r="F479" s="7">
        <f t="shared" si="54"/>
        <v>106074</v>
      </c>
      <c r="G479" s="7"/>
      <c r="H479" s="4"/>
      <c r="I479" s="4">
        <f>F479*0.11-2000</f>
        <v>9668.14</v>
      </c>
      <c r="J479" s="4"/>
      <c r="K479" s="4"/>
      <c r="L479" s="7"/>
      <c r="M479" s="4">
        <f>E479*2*0.3</f>
        <v>1533.6</v>
      </c>
      <c r="N479" s="7"/>
      <c r="O479" s="7"/>
      <c r="P479" s="4">
        <f t="shared" si="55"/>
        <v>11201.74</v>
      </c>
      <c r="Q479" s="4">
        <f t="shared" si="56"/>
        <v>117275.74</v>
      </c>
      <c r="R479" s="4"/>
      <c r="S479" s="4">
        <f t="shared" si="57"/>
        <v>1407308.8800000001</v>
      </c>
      <c r="T479" s="12"/>
    </row>
    <row r="480" spans="1:20" ht="12.75" customHeight="1">
      <c r="A480" s="7">
        <f t="shared" si="58"/>
        <v>9</v>
      </c>
      <c r="B480" s="31" t="s">
        <v>225</v>
      </c>
      <c r="C480" s="47">
        <v>3.5</v>
      </c>
      <c r="D480" s="7">
        <v>16</v>
      </c>
      <c r="E480" s="7">
        <v>2377</v>
      </c>
      <c r="F480" s="7">
        <f t="shared" si="54"/>
        <v>8319.5</v>
      </c>
      <c r="G480" s="7"/>
      <c r="H480" s="4"/>
      <c r="I480" s="4"/>
      <c r="J480" s="4">
        <f>E480*C480*0.15</f>
        <v>1247.925</v>
      </c>
      <c r="K480" s="4"/>
      <c r="L480" s="7"/>
      <c r="M480" s="7"/>
      <c r="N480" s="7"/>
      <c r="O480" s="7"/>
      <c r="P480" s="4">
        <f t="shared" si="55"/>
        <v>1247.925</v>
      </c>
      <c r="Q480" s="4">
        <f t="shared" si="56"/>
        <v>9567.425</v>
      </c>
      <c r="R480" s="4"/>
      <c r="S480" s="4">
        <f t="shared" si="57"/>
        <v>114809.09999999999</v>
      </c>
      <c r="T480" s="12"/>
    </row>
    <row r="481" spans="1:20" ht="12.75" customHeight="1">
      <c r="A481" s="7">
        <f t="shared" si="58"/>
        <v>10</v>
      </c>
      <c r="B481" s="31" t="s">
        <v>219</v>
      </c>
      <c r="C481" s="47">
        <v>63</v>
      </c>
      <c r="D481" s="7">
        <v>16</v>
      </c>
      <c r="E481" s="7">
        <v>2377</v>
      </c>
      <c r="F481" s="7">
        <f t="shared" si="54"/>
        <v>149751</v>
      </c>
      <c r="G481" s="47"/>
      <c r="H481" s="4"/>
      <c r="I481" s="4">
        <f>F481*0.1</f>
        <v>14975.1</v>
      </c>
      <c r="J481" s="4"/>
      <c r="K481" s="4"/>
      <c r="L481" s="7"/>
      <c r="M481" s="7"/>
      <c r="N481" s="7"/>
      <c r="O481" s="7"/>
      <c r="P481" s="4">
        <f t="shared" si="55"/>
        <v>14975.1</v>
      </c>
      <c r="Q481" s="4">
        <f t="shared" si="56"/>
        <v>164726.1</v>
      </c>
      <c r="R481" s="4"/>
      <c r="S481" s="4">
        <f t="shared" si="57"/>
        <v>1976713.2000000002</v>
      </c>
      <c r="T481" s="12"/>
    </row>
    <row r="482" spans="1:20" ht="24.75" customHeight="1">
      <c r="A482" s="7">
        <f t="shared" si="58"/>
        <v>11</v>
      </c>
      <c r="B482" s="31" t="s">
        <v>519</v>
      </c>
      <c r="C482" s="47">
        <v>0.25</v>
      </c>
      <c r="D482" s="7">
        <v>16</v>
      </c>
      <c r="E482" s="7">
        <v>2377</v>
      </c>
      <c r="F482" s="7">
        <f t="shared" si="54"/>
        <v>594.25</v>
      </c>
      <c r="G482" s="7"/>
      <c r="H482" s="4">
        <f>E482*C482*0.15</f>
        <v>89.1375</v>
      </c>
      <c r="I482" s="4"/>
      <c r="J482" s="4"/>
      <c r="K482" s="4"/>
      <c r="L482" s="7"/>
      <c r="M482" s="7"/>
      <c r="N482" s="7"/>
      <c r="O482" s="7"/>
      <c r="P482" s="4">
        <f t="shared" si="55"/>
        <v>89.1375</v>
      </c>
      <c r="Q482" s="4">
        <f t="shared" si="56"/>
        <v>683.3875</v>
      </c>
      <c r="R482" s="44"/>
      <c r="S482" s="4">
        <f t="shared" si="57"/>
        <v>8200.650000000001</v>
      </c>
      <c r="T482" s="12"/>
    </row>
    <row r="483" spans="1:20" ht="13.5" customHeight="1">
      <c r="A483" s="7">
        <f t="shared" si="58"/>
        <v>12</v>
      </c>
      <c r="B483" s="31" t="s">
        <v>186</v>
      </c>
      <c r="C483" s="47">
        <v>2.25</v>
      </c>
      <c r="D483" s="7">
        <v>16</v>
      </c>
      <c r="E483" s="7">
        <v>2377</v>
      </c>
      <c r="F483" s="7">
        <f t="shared" si="54"/>
        <v>5348.25</v>
      </c>
      <c r="G483" s="7"/>
      <c r="H483" s="7"/>
      <c r="I483" s="4">
        <f>F483*1*0.1+F483*1*0.2</f>
        <v>1604.4750000000001</v>
      </c>
      <c r="J483" s="4"/>
      <c r="K483" s="4"/>
      <c r="L483" s="7"/>
      <c r="M483" s="7"/>
      <c r="N483" s="7"/>
      <c r="O483" s="7"/>
      <c r="P483" s="4">
        <f t="shared" si="55"/>
        <v>1604.4750000000001</v>
      </c>
      <c r="Q483" s="9">
        <f t="shared" si="56"/>
        <v>6952.725</v>
      </c>
      <c r="R483" s="15"/>
      <c r="S483" s="9">
        <f t="shared" si="57"/>
        <v>83432.70000000001</v>
      </c>
      <c r="T483" s="12"/>
    </row>
    <row r="484" spans="1:20" ht="13.5" customHeight="1">
      <c r="A484" s="10"/>
      <c r="B484" s="26" t="s">
        <v>40</v>
      </c>
      <c r="C484" s="48">
        <f>SUM(C472:C483)</f>
        <v>216</v>
      </c>
      <c r="D484" s="11"/>
      <c r="E484" s="11"/>
      <c r="F484" s="11">
        <f>SUM(F472:F483)</f>
        <v>555535</v>
      </c>
      <c r="G484" s="11">
        <v>40000</v>
      </c>
      <c r="H484" s="11">
        <f>SUM(H472:H483)</f>
        <v>3134.1875</v>
      </c>
      <c r="I484" s="11">
        <f>SUM(I472:I483)</f>
        <v>73119.85</v>
      </c>
      <c r="J484" s="11">
        <f>SUM(J472:J483)</f>
        <v>31889.184999999998</v>
      </c>
      <c r="K484" s="11">
        <f>SUM(K472:K483)</f>
        <v>40739.4425</v>
      </c>
      <c r="L484" s="11"/>
      <c r="M484" s="11">
        <f>SUM(M472:M483)</f>
        <v>2407.7999999999997</v>
      </c>
      <c r="N484" s="11"/>
      <c r="O484" s="11"/>
      <c r="P484" s="11">
        <f>SUM(P472:P483)+G484</f>
        <v>191290.465</v>
      </c>
      <c r="Q484" s="11">
        <f>SUM(Q472:Q483)+G484</f>
        <v>746825.465</v>
      </c>
      <c r="R484" s="11">
        <f>SUM(R472:R483)</f>
        <v>0</v>
      </c>
      <c r="S484" s="11">
        <f>SUM(S472:S483)+G484*$R$17</f>
        <v>8961905.58</v>
      </c>
      <c r="T484" s="12"/>
    </row>
    <row r="485" spans="1:20" ht="13.5" customHeight="1">
      <c r="A485" s="10"/>
      <c r="B485" s="26" t="s">
        <v>32</v>
      </c>
      <c r="C485" s="11"/>
      <c r="D485" s="4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>
        <v>60000</v>
      </c>
      <c r="R485" s="11"/>
      <c r="S485" s="11">
        <v>600000</v>
      </c>
      <c r="T485" s="12"/>
    </row>
    <row r="486" spans="1:20" ht="13.5" customHeight="1">
      <c r="A486" s="179" t="s">
        <v>35</v>
      </c>
      <c r="B486" s="179"/>
      <c r="C486" s="11">
        <f>C470+C484+C485</f>
        <v>218</v>
      </c>
      <c r="D486" s="11"/>
      <c r="E486" s="11"/>
      <c r="F486" s="11">
        <f aca="true" t="shared" si="59" ref="F486:K486">F470+F484+F485</f>
        <v>562223</v>
      </c>
      <c r="G486" s="11">
        <f t="shared" si="59"/>
        <v>49564.25</v>
      </c>
      <c r="H486" s="11">
        <f t="shared" si="59"/>
        <v>3802.9875</v>
      </c>
      <c r="I486" s="11">
        <f t="shared" si="59"/>
        <v>74457.45000000001</v>
      </c>
      <c r="J486" s="11">
        <f t="shared" si="59"/>
        <v>33226.784999999996</v>
      </c>
      <c r="K486" s="11">
        <f t="shared" si="59"/>
        <v>42946.4825</v>
      </c>
      <c r="L486" s="11"/>
      <c r="M486" s="11">
        <f>M470+M484+M485</f>
        <v>2407.7999999999997</v>
      </c>
      <c r="N486" s="11"/>
      <c r="O486" s="11"/>
      <c r="P486" s="11">
        <f>P470+P484+P485</f>
        <v>206405.755</v>
      </c>
      <c r="Q486" s="11">
        <f>Q470+Q484+Q485</f>
        <v>828628.755</v>
      </c>
      <c r="R486" s="11">
        <f>R470+R484+R485</f>
        <v>0</v>
      </c>
      <c r="S486" s="11">
        <f>S470+S484+S485</f>
        <v>9823545.06</v>
      </c>
      <c r="T486" s="12"/>
    </row>
    <row r="487" spans="1:20" ht="15.75" customHeight="1">
      <c r="A487" s="157" t="s">
        <v>153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9"/>
      <c r="T487" s="12"/>
    </row>
    <row r="488" spans="1:20" ht="25.5">
      <c r="A488" s="3" t="s">
        <v>9</v>
      </c>
      <c r="B488" s="2" t="s">
        <v>304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12"/>
    </row>
    <row r="489" spans="1:20" ht="12.75">
      <c r="A489" s="8"/>
      <c r="B489" s="31" t="s">
        <v>502</v>
      </c>
      <c r="C489" s="8">
        <v>1</v>
      </c>
      <c r="D489" s="8">
        <v>11</v>
      </c>
      <c r="E489" s="8">
        <v>1678</v>
      </c>
      <c r="F489" s="7">
        <f>E489*C489</f>
        <v>1678</v>
      </c>
      <c r="G489" s="8"/>
      <c r="H489" s="8"/>
      <c r="I489" s="9"/>
      <c r="J489" s="9"/>
      <c r="K489" s="9"/>
      <c r="L489" s="9"/>
      <c r="M489" s="9"/>
      <c r="N489" s="9"/>
      <c r="O489" s="9"/>
      <c r="P489" s="4"/>
      <c r="Q489" s="4">
        <f>E489*C489+SUM(G489:O489)</f>
        <v>1678</v>
      </c>
      <c r="R489" s="8"/>
      <c r="S489" s="9">
        <f>Q489*$R$17</f>
        <v>20136</v>
      </c>
      <c r="T489" s="12"/>
    </row>
    <row r="490" spans="1:20" ht="12.75">
      <c r="A490" s="10"/>
      <c r="B490" s="26" t="s">
        <v>40</v>
      </c>
      <c r="C490" s="10">
        <f>SUM(C489)</f>
        <v>1</v>
      </c>
      <c r="D490" s="10"/>
      <c r="E490" s="10"/>
      <c r="F490" s="10">
        <f>SUM(F489)</f>
        <v>1678</v>
      </c>
      <c r="G490" s="10"/>
      <c r="H490" s="10"/>
      <c r="I490" s="11"/>
      <c r="J490" s="11"/>
      <c r="K490" s="11"/>
      <c r="L490" s="11"/>
      <c r="M490" s="11"/>
      <c r="N490" s="11"/>
      <c r="O490" s="11"/>
      <c r="P490" s="11"/>
      <c r="Q490" s="10">
        <f>SUM(Q489)</f>
        <v>1678</v>
      </c>
      <c r="R490" s="10">
        <f>SUM(R489)</f>
        <v>0</v>
      </c>
      <c r="S490" s="10">
        <f>SUM(S489)</f>
        <v>20136</v>
      </c>
      <c r="T490" s="12"/>
    </row>
    <row r="491" spans="1:20" ht="12.75">
      <c r="A491" s="3" t="s">
        <v>11</v>
      </c>
      <c r="B491" s="2" t="s">
        <v>179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12"/>
    </row>
    <row r="492" spans="1:20" ht="12.75">
      <c r="A492" s="8"/>
      <c r="B492" s="27" t="s">
        <v>162</v>
      </c>
      <c r="C492" s="8">
        <v>1</v>
      </c>
      <c r="D492" s="8">
        <v>6</v>
      </c>
      <c r="E492" s="8">
        <v>1263</v>
      </c>
      <c r="F492" s="7">
        <f>E492*C492</f>
        <v>1263</v>
      </c>
      <c r="G492" s="8"/>
      <c r="H492" s="8"/>
      <c r="I492" s="8"/>
      <c r="J492" s="8"/>
      <c r="K492" s="8"/>
      <c r="L492" s="8"/>
      <c r="M492" s="8"/>
      <c r="N492" s="8"/>
      <c r="O492" s="8"/>
      <c r="P492" s="7"/>
      <c r="Q492" s="4">
        <f>E492*C492+SUM(G492:O492)</f>
        <v>1263</v>
      </c>
      <c r="R492" s="8"/>
      <c r="S492" s="9">
        <f>Q492*$R$17</f>
        <v>15156</v>
      </c>
      <c r="T492" s="12"/>
    </row>
    <row r="493" spans="1:20" ht="12.75">
      <c r="A493" s="10"/>
      <c r="B493" s="26" t="s">
        <v>40</v>
      </c>
      <c r="C493" s="10">
        <f>SUM(C492:C492)</f>
        <v>1</v>
      </c>
      <c r="D493" s="10"/>
      <c r="E493" s="10"/>
      <c r="F493" s="10">
        <f>SUM(F492:F492)</f>
        <v>1263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>
        <f>SUM(Q492)</f>
        <v>1263</v>
      </c>
      <c r="R493" s="10"/>
      <c r="S493" s="10">
        <f>SUM(S492:S492)</f>
        <v>15156</v>
      </c>
      <c r="T493" s="12"/>
    </row>
    <row r="494" spans="1:20" ht="12.75">
      <c r="A494" s="3" t="s">
        <v>10</v>
      </c>
      <c r="B494" s="2" t="s">
        <v>63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12"/>
    </row>
    <row r="495" spans="1:20" ht="12.75">
      <c r="A495" s="8"/>
      <c r="B495" s="27" t="s">
        <v>154</v>
      </c>
      <c r="C495" s="8">
        <v>0.5</v>
      </c>
      <c r="D495" s="8">
        <v>4</v>
      </c>
      <c r="E495" s="8">
        <v>1243</v>
      </c>
      <c r="F495" s="7">
        <f>E495*C495</f>
        <v>621.5</v>
      </c>
      <c r="G495" s="8"/>
      <c r="H495" s="8"/>
      <c r="I495" s="8"/>
      <c r="J495" s="8"/>
      <c r="K495" s="8"/>
      <c r="L495" s="8"/>
      <c r="M495" s="8"/>
      <c r="N495" s="8"/>
      <c r="O495" s="8"/>
      <c r="P495" s="7"/>
      <c r="Q495" s="4">
        <f>E495*C495+SUM(G495:O495)</f>
        <v>621.5</v>
      </c>
      <c r="R495" s="8"/>
      <c r="S495" s="9">
        <f>Q495*$R$17</f>
        <v>7458</v>
      </c>
      <c r="T495" s="12"/>
    </row>
    <row r="496" spans="1:20" ht="12.75">
      <c r="A496" s="10"/>
      <c r="B496" s="26" t="s">
        <v>40</v>
      </c>
      <c r="C496" s="10">
        <f>SUM(C495:C495)</f>
        <v>0.5</v>
      </c>
      <c r="D496" s="10"/>
      <c r="E496" s="10"/>
      <c r="F496" s="10">
        <f>SUM(F495:F495)</f>
        <v>621.5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>
        <f>SUM(Q495)</f>
        <v>621.5</v>
      </c>
      <c r="R496" s="10"/>
      <c r="S496" s="10">
        <f>SUM(S495:S495)</f>
        <v>7458</v>
      </c>
      <c r="T496" s="12"/>
    </row>
    <row r="497" spans="1:20" ht="25.5">
      <c r="A497" s="3" t="s">
        <v>13</v>
      </c>
      <c r="B497" s="2" t="s">
        <v>342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12"/>
    </row>
    <row r="498" spans="1:20" ht="12.75">
      <c r="A498" s="7"/>
      <c r="B498" s="31" t="s">
        <v>222</v>
      </c>
      <c r="C498" s="7">
        <v>1</v>
      </c>
      <c r="D498" s="7">
        <v>9</v>
      </c>
      <c r="E498" s="7">
        <v>1474</v>
      </c>
      <c r="F498" s="7">
        <f>E498*C498</f>
        <v>1474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4">
        <f>E498*C498+SUM(G498:O498)</f>
        <v>1474</v>
      </c>
      <c r="R498" s="7"/>
      <c r="S498" s="4">
        <f>Q498*$R$17</f>
        <v>17688</v>
      </c>
      <c r="T498" s="12"/>
    </row>
    <row r="499" spans="1:20" ht="12.75">
      <c r="A499" s="10"/>
      <c r="B499" s="26" t="s">
        <v>40</v>
      </c>
      <c r="C499" s="10">
        <f>SUM(C498:C498)</f>
        <v>1</v>
      </c>
      <c r="D499" s="10"/>
      <c r="E499" s="10"/>
      <c r="F499" s="10">
        <f>SUM(F498:F498)</f>
        <v>1474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>
        <f>SUM(Q497:Q498)</f>
        <v>1474</v>
      </c>
      <c r="R499" s="10"/>
      <c r="S499" s="10">
        <f>SUM(S498:S498)</f>
        <v>17688</v>
      </c>
      <c r="T499" s="12"/>
    </row>
    <row r="500" spans="1:20" ht="12.75">
      <c r="A500" s="3" t="s">
        <v>19</v>
      </c>
      <c r="B500" s="2" t="s">
        <v>54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12"/>
    </row>
    <row r="501" spans="1:20" ht="12.75">
      <c r="A501" s="8"/>
      <c r="B501" s="31" t="s">
        <v>223</v>
      </c>
      <c r="C501" s="7">
        <v>1</v>
      </c>
      <c r="D501" s="7">
        <v>7</v>
      </c>
      <c r="E501" s="7">
        <v>1312</v>
      </c>
      <c r="F501" s="7">
        <f>E501*C501</f>
        <v>1312</v>
      </c>
      <c r="G501" s="8"/>
      <c r="H501" s="8"/>
      <c r="I501" s="8"/>
      <c r="J501" s="8"/>
      <c r="K501" s="8"/>
      <c r="L501" s="8"/>
      <c r="M501" s="8"/>
      <c r="N501" s="8"/>
      <c r="O501" s="8"/>
      <c r="P501" s="7"/>
      <c r="Q501" s="4">
        <f>E501*C501+SUM(G501:O501)</f>
        <v>1312</v>
      </c>
      <c r="R501" s="7"/>
      <c r="S501" s="4">
        <f>Q501*$R$17</f>
        <v>15744</v>
      </c>
      <c r="T501" s="12"/>
    </row>
    <row r="502" spans="1:20" ht="12.75">
      <c r="A502" s="10"/>
      <c r="B502" s="26" t="s">
        <v>40</v>
      </c>
      <c r="C502" s="10">
        <f>SUM(C500:C501)</f>
        <v>1</v>
      </c>
      <c r="D502" s="10"/>
      <c r="E502" s="10"/>
      <c r="F502" s="10">
        <f>SUM(F500:F501)</f>
        <v>1312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>
        <f>SUM(Q501)</f>
        <v>1312</v>
      </c>
      <c r="R502" s="10">
        <f>SUM(R500:R501)</f>
        <v>0</v>
      </c>
      <c r="S502" s="10">
        <f>SUM(S500:S501)</f>
        <v>15744</v>
      </c>
      <c r="T502" s="12"/>
    </row>
    <row r="503" spans="1:20" ht="12.75" customHeight="1">
      <c r="A503" s="3" t="s">
        <v>20</v>
      </c>
      <c r="B503" s="2" t="s">
        <v>203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12"/>
    </row>
    <row r="504" spans="1:20" ht="12.75">
      <c r="A504" s="8"/>
      <c r="B504" s="31" t="s">
        <v>223</v>
      </c>
      <c r="C504" s="7">
        <v>1</v>
      </c>
      <c r="D504" s="7">
        <v>7</v>
      </c>
      <c r="E504" s="7">
        <v>1312</v>
      </c>
      <c r="F504" s="7">
        <f>E504*C504</f>
        <v>1312</v>
      </c>
      <c r="G504" s="8"/>
      <c r="H504" s="8"/>
      <c r="I504" s="8"/>
      <c r="J504" s="8"/>
      <c r="K504" s="8"/>
      <c r="L504" s="8"/>
      <c r="M504" s="8"/>
      <c r="N504" s="8"/>
      <c r="O504" s="8"/>
      <c r="P504" s="7"/>
      <c r="Q504" s="4">
        <f>E504*C504+SUM(G504:O504)</f>
        <v>1312</v>
      </c>
      <c r="R504" s="7"/>
      <c r="S504" s="4">
        <f>Q504*$R$17</f>
        <v>15744</v>
      </c>
      <c r="T504" s="12"/>
    </row>
    <row r="505" spans="1:20" ht="12.75">
      <c r="A505" s="10"/>
      <c r="B505" s="26" t="s">
        <v>40</v>
      </c>
      <c r="C505" s="10">
        <f>SUM(C503:C504)</f>
        <v>1</v>
      </c>
      <c r="D505" s="10"/>
      <c r="E505" s="10"/>
      <c r="F505" s="10">
        <f>SUM(F503:F504)</f>
        <v>1312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>
        <f>SUM(Q504)</f>
        <v>1312</v>
      </c>
      <c r="R505" s="10">
        <f>SUM(R503:R504)</f>
        <v>0</v>
      </c>
      <c r="S505" s="10">
        <f>SUM(S503:S504)</f>
        <v>15744</v>
      </c>
      <c r="T505" s="12"/>
    </row>
    <row r="506" spans="1:20" ht="12" customHeight="1">
      <c r="A506" s="3" t="s">
        <v>21</v>
      </c>
      <c r="B506" s="58" t="s">
        <v>237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12"/>
    </row>
    <row r="507" spans="1:20" ht="12" customHeight="1">
      <c r="A507" s="7"/>
      <c r="B507" s="31" t="s">
        <v>502</v>
      </c>
      <c r="C507" s="7">
        <v>1</v>
      </c>
      <c r="D507" s="7">
        <v>11</v>
      </c>
      <c r="E507" s="7">
        <v>1678</v>
      </c>
      <c r="F507" s="7">
        <f>E507*C507</f>
        <v>1678</v>
      </c>
      <c r="G507" s="7"/>
      <c r="H507" s="7"/>
      <c r="I507" s="4"/>
      <c r="J507" s="7"/>
      <c r="K507" s="7"/>
      <c r="L507" s="7"/>
      <c r="M507" s="7"/>
      <c r="N507" s="7"/>
      <c r="O507" s="7"/>
      <c r="P507" s="4"/>
      <c r="Q507" s="4">
        <f>E507*C507+SUM(G507:O507)</f>
        <v>1678</v>
      </c>
      <c r="R507" s="7"/>
      <c r="S507" s="4">
        <f>Q507*$R$17</f>
        <v>20136</v>
      </c>
      <c r="T507" s="12"/>
    </row>
    <row r="508" spans="1:20" ht="12" customHeight="1">
      <c r="A508" s="10"/>
      <c r="B508" s="26" t="s">
        <v>40</v>
      </c>
      <c r="C508" s="10">
        <f>SUM(C507:C507)</f>
        <v>1</v>
      </c>
      <c r="D508" s="10"/>
      <c r="E508" s="10"/>
      <c r="F508" s="10">
        <f>SUM(F507:F507)</f>
        <v>1678</v>
      </c>
      <c r="G508" s="10"/>
      <c r="H508" s="10"/>
      <c r="I508" s="11"/>
      <c r="J508" s="10"/>
      <c r="K508" s="10"/>
      <c r="L508" s="10"/>
      <c r="M508" s="10"/>
      <c r="N508" s="10"/>
      <c r="O508" s="10"/>
      <c r="P508" s="11"/>
      <c r="Q508" s="11">
        <f>SUM(Q507:Q507)</f>
        <v>1678</v>
      </c>
      <c r="R508" s="11">
        <f>SUM(R507:R507)</f>
        <v>0</v>
      </c>
      <c r="S508" s="11">
        <f>SUM(S507:S507)</f>
        <v>20136</v>
      </c>
      <c r="T508" s="12"/>
    </row>
    <row r="509" spans="1:20" ht="12" customHeight="1">
      <c r="A509" s="3" t="s">
        <v>22</v>
      </c>
      <c r="B509" s="2" t="s">
        <v>232</v>
      </c>
      <c r="C509" s="3"/>
      <c r="D509" s="3"/>
      <c r="E509" s="122"/>
      <c r="F509" s="12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12"/>
    </row>
    <row r="510" spans="1:20" ht="12" customHeight="1">
      <c r="A510" s="7"/>
      <c r="B510" s="31" t="s">
        <v>502</v>
      </c>
      <c r="C510" s="7">
        <v>1</v>
      </c>
      <c r="D510" s="7">
        <v>11</v>
      </c>
      <c r="E510" s="7">
        <v>1678</v>
      </c>
      <c r="F510" s="7">
        <f>E510*C510</f>
        <v>1678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4">
        <f>E510*C510+SUM(G510:O510)</f>
        <v>1678</v>
      </c>
      <c r="R510" s="7"/>
      <c r="S510" s="4">
        <f>Q510*$R$17</f>
        <v>20136</v>
      </c>
      <c r="T510" s="12"/>
    </row>
    <row r="511" spans="1:20" ht="12" customHeight="1">
      <c r="A511" s="10"/>
      <c r="B511" s="26" t="s">
        <v>40</v>
      </c>
      <c r="C511" s="10">
        <f>SUM(C510:C510)</f>
        <v>1</v>
      </c>
      <c r="D511" s="10"/>
      <c r="E511" s="68"/>
      <c r="F511" s="10">
        <f>SUM(F510:F510)</f>
        <v>1678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1">
        <f>SUM(Q510:Q510)</f>
        <v>1678</v>
      </c>
      <c r="R511" s="11">
        <f>SUM(R510:R510)</f>
        <v>0</v>
      </c>
      <c r="S511" s="11">
        <f>SUM(S510:S510)</f>
        <v>20136</v>
      </c>
      <c r="T511" s="12"/>
    </row>
    <row r="512" spans="1:20" ht="12" customHeight="1">
      <c r="A512" s="3" t="s">
        <v>23</v>
      </c>
      <c r="B512" s="2" t="s">
        <v>233</v>
      </c>
      <c r="C512" s="3"/>
      <c r="D512" s="3"/>
      <c r="E512" s="122"/>
      <c r="F512" s="12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12"/>
    </row>
    <row r="513" spans="1:20" ht="12" customHeight="1">
      <c r="A513" s="7"/>
      <c r="B513" s="31" t="s">
        <v>162</v>
      </c>
      <c r="C513" s="7">
        <v>1</v>
      </c>
      <c r="D513" s="7">
        <v>6</v>
      </c>
      <c r="E513" s="7">
        <v>1263</v>
      </c>
      <c r="F513" s="7">
        <f>E513*C513</f>
        <v>1263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4">
        <f>E513*C513+SUM(G513:O513)</f>
        <v>1263</v>
      </c>
      <c r="R513" s="7"/>
      <c r="S513" s="4">
        <f>Q513*$R$17</f>
        <v>15156</v>
      </c>
      <c r="T513" s="12"/>
    </row>
    <row r="514" spans="1:20" ht="12" customHeight="1">
      <c r="A514" s="10"/>
      <c r="B514" s="26" t="s">
        <v>40</v>
      </c>
      <c r="C514" s="10">
        <f>SUM(C513:C513)</f>
        <v>1</v>
      </c>
      <c r="D514" s="10"/>
      <c r="E514" s="10"/>
      <c r="F514" s="10">
        <f>SUM(F513:F513)</f>
        <v>1263</v>
      </c>
      <c r="G514" s="10"/>
      <c r="H514" s="10"/>
      <c r="I514" s="11"/>
      <c r="J514" s="11"/>
      <c r="K514" s="11"/>
      <c r="L514" s="11"/>
      <c r="M514" s="11"/>
      <c r="N514" s="11"/>
      <c r="O514" s="11"/>
      <c r="P514" s="11"/>
      <c r="Q514" s="11">
        <f>SUM(Q513:Q513)</f>
        <v>1263</v>
      </c>
      <c r="R514" s="11">
        <f>SUM(R513:R513)</f>
        <v>0</v>
      </c>
      <c r="S514" s="11">
        <f>SUM(S513:S513)</f>
        <v>15156</v>
      </c>
      <c r="T514" s="12"/>
    </row>
    <row r="515" spans="1:20" ht="24" customHeight="1">
      <c r="A515" s="3" t="s">
        <v>25</v>
      </c>
      <c r="B515" s="37" t="s">
        <v>536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12"/>
    </row>
    <row r="516" spans="1:20" ht="12" customHeight="1">
      <c r="A516" s="8"/>
      <c r="B516" s="38" t="s">
        <v>223</v>
      </c>
      <c r="C516" s="7">
        <v>1</v>
      </c>
      <c r="D516" s="7">
        <v>7</v>
      </c>
      <c r="E516" s="7">
        <v>1312</v>
      </c>
      <c r="F516" s="7">
        <f>E516*C516</f>
        <v>1312</v>
      </c>
      <c r="G516" s="8"/>
      <c r="H516" s="8"/>
      <c r="I516" s="8"/>
      <c r="J516" s="8"/>
      <c r="K516" s="8"/>
      <c r="L516" s="8"/>
      <c r="M516" s="8"/>
      <c r="N516" s="8"/>
      <c r="O516" s="8"/>
      <c r="P516" s="7"/>
      <c r="Q516" s="4">
        <f>E516*C516+SUM(G516:O516)</f>
        <v>1312</v>
      </c>
      <c r="R516" s="8"/>
      <c r="S516" s="9">
        <f>Q516*$R$17</f>
        <v>15744</v>
      </c>
      <c r="T516" s="12"/>
    </row>
    <row r="517" spans="1:20" ht="12" customHeight="1">
      <c r="A517" s="10"/>
      <c r="B517" s="26" t="s">
        <v>40</v>
      </c>
      <c r="C517" s="10">
        <f>SUM(C515:C516)</f>
        <v>1</v>
      </c>
      <c r="D517" s="10"/>
      <c r="E517" s="10"/>
      <c r="F517" s="10">
        <f>SUM(F515:F516)</f>
        <v>1312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>
        <f>SUM(Q516)</f>
        <v>1312</v>
      </c>
      <c r="R517" s="10">
        <f>SUM(R515:R516)</f>
        <v>0</v>
      </c>
      <c r="S517" s="10">
        <f>SUM(S515:S516)</f>
        <v>15744</v>
      </c>
      <c r="T517" s="12"/>
    </row>
    <row r="518" spans="1:20" ht="22.5" customHeight="1">
      <c r="A518" s="3" t="s">
        <v>26</v>
      </c>
      <c r="B518" s="2" t="s">
        <v>496</v>
      </c>
      <c r="C518" s="3"/>
      <c r="D518" s="3"/>
      <c r="E518" s="3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12"/>
    </row>
    <row r="519" spans="1:20" ht="12.75">
      <c r="A519" s="7"/>
      <c r="B519" s="31" t="s">
        <v>162</v>
      </c>
      <c r="C519" s="7">
        <v>1</v>
      </c>
      <c r="D519" s="7">
        <v>6</v>
      </c>
      <c r="E519" s="7">
        <v>1263</v>
      </c>
      <c r="F519" s="7">
        <f>E519*C519</f>
        <v>1263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4">
        <f>E519*C519+SUM(G519:O519)</f>
        <v>1263</v>
      </c>
      <c r="R519" s="7"/>
      <c r="S519" s="4">
        <f>Q519*$R$17</f>
        <v>15156</v>
      </c>
      <c r="T519" s="12"/>
    </row>
    <row r="520" spans="1:20" ht="12.75">
      <c r="A520" s="10"/>
      <c r="B520" s="26" t="s">
        <v>40</v>
      </c>
      <c r="C520" s="10">
        <f>SUM(C519:C519)</f>
        <v>1</v>
      </c>
      <c r="D520" s="10"/>
      <c r="E520" s="10"/>
      <c r="F520" s="10">
        <f>SUM(F519:F519)</f>
        <v>1263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1">
        <f>SUM(Q519:Q519)</f>
        <v>1263</v>
      </c>
      <c r="R520" s="10">
        <f>SUM(R519:R519)</f>
        <v>0</v>
      </c>
      <c r="S520" s="11">
        <f>SUM(S519:S519)</f>
        <v>15156</v>
      </c>
      <c r="T520" s="12"/>
    </row>
    <row r="521" spans="1:20" ht="12.75" customHeight="1">
      <c r="A521" s="7" t="s">
        <v>28</v>
      </c>
      <c r="B521" s="145" t="s">
        <v>245</v>
      </c>
      <c r="C521" s="2"/>
      <c r="D521" s="3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12"/>
    </row>
    <row r="522" spans="1:20" ht="12.75" customHeight="1">
      <c r="A522" s="7"/>
      <c r="B522" s="31" t="s">
        <v>195</v>
      </c>
      <c r="C522" s="7">
        <v>1</v>
      </c>
      <c r="D522" s="7">
        <v>10</v>
      </c>
      <c r="E522" s="7">
        <v>1551</v>
      </c>
      <c r="F522" s="7">
        <f>E522*C522</f>
        <v>1551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4">
        <f>E522*C522+SUM(G522:O522)</f>
        <v>1551</v>
      </c>
      <c r="R522" s="7"/>
      <c r="S522" s="4">
        <f>Q522*$R$17</f>
        <v>18612</v>
      </c>
      <c r="T522" s="12"/>
    </row>
    <row r="523" spans="1:20" ht="12.75" customHeight="1">
      <c r="A523" s="10"/>
      <c r="B523" s="26" t="s">
        <v>40</v>
      </c>
      <c r="C523" s="10">
        <f>SUM(C521:C522)</f>
        <v>1</v>
      </c>
      <c r="D523" s="10"/>
      <c r="E523" s="10"/>
      <c r="F523" s="10">
        <f>SUM(F521:F522)</f>
        <v>1551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>
        <f>SUM(Q521:Q522)</f>
        <v>1551</v>
      </c>
      <c r="R523" s="10">
        <f>SUM(R521:R522)</f>
        <v>0</v>
      </c>
      <c r="S523" s="10">
        <f>SUM(S521:S522)</f>
        <v>18612</v>
      </c>
      <c r="T523" s="12"/>
    </row>
    <row r="524" spans="1:20" ht="12.75" customHeight="1">
      <c r="A524" s="3" t="s">
        <v>29</v>
      </c>
      <c r="B524" s="2" t="s">
        <v>189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12"/>
    </row>
    <row r="525" spans="1:20" ht="12.75" customHeight="1">
      <c r="A525" s="8"/>
      <c r="B525" s="31" t="s">
        <v>502</v>
      </c>
      <c r="C525" s="7">
        <v>1</v>
      </c>
      <c r="D525" s="7">
        <v>11</v>
      </c>
      <c r="E525" s="7">
        <v>1678</v>
      </c>
      <c r="F525" s="7">
        <f>E525*C525</f>
        <v>1678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4">
        <f>E525*C525+SUM(G525:O525)</f>
        <v>1678</v>
      </c>
      <c r="R525" s="7"/>
      <c r="S525" s="4">
        <f>Q525*$R$17</f>
        <v>20136</v>
      </c>
      <c r="T525" s="12"/>
    </row>
    <row r="526" spans="1:20" ht="12.75" customHeight="1">
      <c r="A526" s="10"/>
      <c r="B526" s="26" t="s">
        <v>40</v>
      </c>
      <c r="C526" s="10">
        <f>SUM(C525:C525)</f>
        <v>1</v>
      </c>
      <c r="D526" s="10"/>
      <c r="E526" s="10"/>
      <c r="F526" s="10">
        <f>SUM(F525:F525)</f>
        <v>1678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>
        <f>SUM(Q525:Q525)</f>
        <v>1678</v>
      </c>
      <c r="R526" s="10">
        <f>SUM(R525:R525)</f>
        <v>0</v>
      </c>
      <c r="S526" s="10">
        <f>SUM(S525:S525)</f>
        <v>20136</v>
      </c>
      <c r="T526" s="12"/>
    </row>
    <row r="527" spans="1:20" ht="12.75" customHeight="1">
      <c r="A527" s="7" t="s">
        <v>59</v>
      </c>
      <c r="B527" s="31" t="s">
        <v>129</v>
      </c>
      <c r="C527" s="7"/>
      <c r="D527" s="7"/>
      <c r="E527" s="4"/>
      <c r="F527" s="7"/>
      <c r="G527" s="4"/>
      <c r="H527" s="7"/>
      <c r="I527" s="7"/>
      <c r="J527" s="7"/>
      <c r="K527" s="7"/>
      <c r="L527" s="7"/>
      <c r="M527" s="7"/>
      <c r="N527" s="7"/>
      <c r="O527" s="7"/>
      <c r="P527" s="7"/>
      <c r="Q527" s="4"/>
      <c r="R527" s="4"/>
      <c r="S527" s="4"/>
      <c r="T527" s="12"/>
    </row>
    <row r="528" spans="1:20" ht="12.75" customHeight="1">
      <c r="A528" s="7"/>
      <c r="B528" s="31" t="s">
        <v>533</v>
      </c>
      <c r="C528" s="7">
        <v>1</v>
      </c>
      <c r="D528" s="7">
        <v>10</v>
      </c>
      <c r="E528" s="4">
        <v>1551</v>
      </c>
      <c r="F528" s="7">
        <f>E528*C528</f>
        <v>1551</v>
      </c>
      <c r="G528" s="4">
        <f>E528*C528*0.5</f>
        <v>775.5</v>
      </c>
      <c r="H528" s="7"/>
      <c r="I528" s="4">
        <f>E528*C528*0.2</f>
        <v>310.20000000000005</v>
      </c>
      <c r="J528" s="7"/>
      <c r="K528" s="7"/>
      <c r="L528" s="7"/>
      <c r="M528" s="7"/>
      <c r="N528" s="7"/>
      <c r="O528" s="7"/>
      <c r="P528" s="4">
        <f>SUM(G528:O528)</f>
        <v>1085.7</v>
      </c>
      <c r="Q528" s="4">
        <f>E528*C528+SUM(G528:O528)</f>
        <v>2636.7</v>
      </c>
      <c r="R528" s="4"/>
      <c r="S528" s="4">
        <f>Q528*$R$17</f>
        <v>31640.399999999998</v>
      </c>
      <c r="T528" s="12"/>
    </row>
    <row r="529" spans="1:20" ht="12.75" customHeight="1">
      <c r="A529" s="7"/>
      <c r="B529" s="31" t="s">
        <v>534</v>
      </c>
      <c r="C529" s="7">
        <v>2</v>
      </c>
      <c r="D529" s="7">
        <v>10</v>
      </c>
      <c r="E529" s="4">
        <v>1551</v>
      </c>
      <c r="F529" s="7">
        <f>E529*C529</f>
        <v>3102</v>
      </c>
      <c r="G529" s="4">
        <f>E529*C529*0.5</f>
        <v>1551</v>
      </c>
      <c r="H529" s="7"/>
      <c r="I529" s="4">
        <f>E529*C529*0.2</f>
        <v>620.4000000000001</v>
      </c>
      <c r="J529" s="7"/>
      <c r="K529" s="7"/>
      <c r="L529" s="7"/>
      <c r="M529" s="7"/>
      <c r="N529" s="7"/>
      <c r="O529" s="7"/>
      <c r="P529" s="4">
        <f>SUM(G529:O529)</f>
        <v>2171.4</v>
      </c>
      <c r="Q529" s="4">
        <f>E529*C529+SUM(G529:O529)</f>
        <v>5273.4</v>
      </c>
      <c r="R529" s="4"/>
      <c r="S529" s="4">
        <f>Q529*$R$17</f>
        <v>63280.799999999996</v>
      </c>
      <c r="T529" s="12"/>
    </row>
    <row r="530" spans="1:20" ht="12.75" customHeight="1">
      <c r="A530" s="7"/>
      <c r="B530" s="31" t="s">
        <v>265</v>
      </c>
      <c r="C530" s="7">
        <v>2</v>
      </c>
      <c r="D530" s="7">
        <v>9</v>
      </c>
      <c r="E530" s="4">
        <v>1474</v>
      </c>
      <c r="F530" s="7">
        <f>E530*C530</f>
        <v>2948</v>
      </c>
      <c r="G530" s="4">
        <f>E530*C530*0.5</f>
        <v>1474</v>
      </c>
      <c r="H530" s="7"/>
      <c r="I530" s="4">
        <f>E530*C530*0.1</f>
        <v>294.8</v>
      </c>
      <c r="J530" s="7"/>
      <c r="K530" s="7"/>
      <c r="L530" s="7"/>
      <c r="M530" s="7"/>
      <c r="N530" s="7"/>
      <c r="O530" s="7"/>
      <c r="P530" s="4">
        <f>SUM(G530:O530)</f>
        <v>1768.8</v>
      </c>
      <c r="Q530" s="4">
        <f>E530*C530+SUM(G530:O530)</f>
        <v>4716.8</v>
      </c>
      <c r="R530" s="4"/>
      <c r="S530" s="4">
        <f>Q530*$R$17</f>
        <v>56601.600000000006</v>
      </c>
      <c r="T530" s="12"/>
    </row>
    <row r="531" spans="1:20" ht="12.75" customHeight="1">
      <c r="A531" s="7"/>
      <c r="B531" s="27" t="s">
        <v>264</v>
      </c>
      <c r="C531" s="8">
        <v>3</v>
      </c>
      <c r="D531" s="8">
        <v>9</v>
      </c>
      <c r="E531" s="9">
        <v>1474</v>
      </c>
      <c r="F531" s="7">
        <f>E531*C531</f>
        <v>4422</v>
      </c>
      <c r="G531" s="4">
        <f>E531*C531*0.5</f>
        <v>2211</v>
      </c>
      <c r="H531" s="8"/>
      <c r="I531" s="4">
        <f>E531*1*0.1</f>
        <v>147.4</v>
      </c>
      <c r="J531" s="9"/>
      <c r="K531" s="8"/>
      <c r="L531" s="8"/>
      <c r="M531" s="8"/>
      <c r="N531" s="8"/>
      <c r="O531" s="8"/>
      <c r="P531" s="4">
        <f>SUM(G531:O531)</f>
        <v>2358.4</v>
      </c>
      <c r="Q531" s="4">
        <f>E531*C531+SUM(G531:O531)</f>
        <v>6780.4</v>
      </c>
      <c r="R531" s="7"/>
      <c r="S531" s="4">
        <f>Q531*$R$17</f>
        <v>81364.79999999999</v>
      </c>
      <c r="T531" s="12"/>
    </row>
    <row r="532" spans="1:20" ht="12.75" customHeight="1">
      <c r="A532" s="10"/>
      <c r="B532" s="26" t="s">
        <v>40</v>
      </c>
      <c r="C532" s="10">
        <f>SUM(C528:C531)</f>
        <v>8</v>
      </c>
      <c r="D532" s="10"/>
      <c r="E532" s="10"/>
      <c r="F532" s="10">
        <f>SUM(F528:F531)</f>
        <v>12023</v>
      </c>
      <c r="G532" s="10">
        <f>SUM(G528:G531)</f>
        <v>6011.5</v>
      </c>
      <c r="H532" s="10"/>
      <c r="I532" s="11">
        <f>SUM(I528:I531)</f>
        <v>1372.8000000000002</v>
      </c>
      <c r="J532" s="10"/>
      <c r="K532" s="10"/>
      <c r="L532" s="10"/>
      <c r="M532" s="10"/>
      <c r="N532" s="10"/>
      <c r="O532" s="10"/>
      <c r="P532" s="11">
        <f>SUM(P528:P531)</f>
        <v>7384.300000000001</v>
      </c>
      <c r="Q532" s="11">
        <f>SUM(Q528:Q531)</f>
        <v>19407.3</v>
      </c>
      <c r="R532" s="11">
        <f>SUM(R528:R531)</f>
        <v>0</v>
      </c>
      <c r="S532" s="11">
        <f>SUM(S528:S531)</f>
        <v>232887.59999999998</v>
      </c>
      <c r="T532" s="12"/>
    </row>
    <row r="533" spans="1:20" ht="12.75" customHeight="1">
      <c r="A533" s="7" t="s">
        <v>62</v>
      </c>
      <c r="B533" s="31" t="s">
        <v>334</v>
      </c>
      <c r="C533" s="7"/>
      <c r="D533" s="7"/>
      <c r="E533" s="7"/>
      <c r="F533" s="7"/>
      <c r="G533" s="7"/>
      <c r="H533" s="7"/>
      <c r="I533" s="4"/>
      <c r="J533" s="7"/>
      <c r="K533" s="7"/>
      <c r="L533" s="7"/>
      <c r="M533" s="7"/>
      <c r="N533" s="7"/>
      <c r="O533" s="7"/>
      <c r="P533" s="4"/>
      <c r="Q533" s="4"/>
      <c r="R533" s="4"/>
      <c r="S533" s="4"/>
      <c r="T533" s="12"/>
    </row>
    <row r="534" spans="1:20" ht="12.75" customHeight="1">
      <c r="A534" s="7"/>
      <c r="B534" s="31" t="s">
        <v>393</v>
      </c>
      <c r="C534" s="7">
        <v>1</v>
      </c>
      <c r="D534" s="7">
        <v>10</v>
      </c>
      <c r="E534" s="7">
        <v>1551</v>
      </c>
      <c r="F534" s="7">
        <f>E534*C534</f>
        <v>1551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4">
        <f>E534*C534+SUM(G534:O534)</f>
        <v>1551</v>
      </c>
      <c r="R534" s="7"/>
      <c r="S534" s="4">
        <f>Q534*$R$17</f>
        <v>18612</v>
      </c>
      <c r="T534" s="12"/>
    </row>
    <row r="535" spans="1:20" ht="12.75" customHeight="1">
      <c r="A535" s="7"/>
      <c r="B535" s="31" t="s">
        <v>394</v>
      </c>
      <c r="C535" s="7">
        <v>1</v>
      </c>
      <c r="D535" s="7">
        <v>9</v>
      </c>
      <c r="E535" s="7">
        <v>1474</v>
      </c>
      <c r="F535" s="7">
        <f>E535*C535</f>
        <v>1474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4">
        <f>E535*C535+SUM(G535:O535)</f>
        <v>1474</v>
      </c>
      <c r="R535" s="7"/>
      <c r="S535" s="4">
        <f>Q535*$R$17</f>
        <v>17688</v>
      </c>
      <c r="T535" s="12"/>
    </row>
    <row r="536" spans="1:20" ht="12.75" customHeight="1">
      <c r="A536" s="7"/>
      <c r="B536" s="123" t="s">
        <v>453</v>
      </c>
      <c r="C536" s="7">
        <v>0.5</v>
      </c>
      <c r="D536" s="7">
        <v>7</v>
      </c>
      <c r="E536" s="7">
        <v>1312</v>
      </c>
      <c r="F536" s="7">
        <f>E536*C536</f>
        <v>656</v>
      </c>
      <c r="G536" s="7"/>
      <c r="H536" s="7"/>
      <c r="I536" s="7"/>
      <c r="J536" s="7"/>
      <c r="K536" s="7"/>
      <c r="L536" s="7"/>
      <c r="M536" s="7"/>
      <c r="N536" s="7"/>
      <c r="O536" s="7"/>
      <c r="P536" s="4"/>
      <c r="Q536" s="4">
        <f>E536*C536+SUM(G536:O536)</f>
        <v>656</v>
      </c>
      <c r="R536" s="7"/>
      <c r="S536" s="4">
        <f>Q536*$R$17</f>
        <v>7872</v>
      </c>
      <c r="T536" s="12"/>
    </row>
    <row r="537" spans="1:20" ht="12.75" customHeight="1">
      <c r="A537" s="7"/>
      <c r="B537" s="31" t="s">
        <v>535</v>
      </c>
      <c r="C537" s="7">
        <v>1</v>
      </c>
      <c r="D537" s="7">
        <v>7</v>
      </c>
      <c r="E537" s="4">
        <v>1312</v>
      </c>
      <c r="F537" s="4">
        <f>E537*C537</f>
        <v>1312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>
        <f>E537*C537+SUM(G537:O537)</f>
        <v>1312</v>
      </c>
      <c r="R537" s="7"/>
      <c r="S537" s="4">
        <f>Q537*$R$17</f>
        <v>15744</v>
      </c>
      <c r="T537" s="12"/>
    </row>
    <row r="538" spans="1:20" ht="12.75" customHeight="1">
      <c r="A538" s="10"/>
      <c r="B538" s="26" t="s">
        <v>40</v>
      </c>
      <c r="C538" s="10">
        <f>SUM(C534:C537)</f>
        <v>3.5</v>
      </c>
      <c r="D538" s="10"/>
      <c r="E538" s="10">
        <f>SUM(E534:E537)</f>
        <v>5649</v>
      </c>
      <c r="F538" s="10">
        <f>SUM(F534:F537)</f>
        <v>4993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>
        <f>SUM(Q534:Q537)</f>
        <v>4993</v>
      </c>
      <c r="R538" s="10">
        <f>SUM(R534:R537)</f>
        <v>0</v>
      </c>
      <c r="S538" s="10">
        <f>SUM(S534:S537)</f>
        <v>59916</v>
      </c>
      <c r="T538" s="12"/>
    </row>
    <row r="539" spans="1:20" ht="24" customHeight="1">
      <c r="A539" s="7" t="s">
        <v>64</v>
      </c>
      <c r="B539" s="31" t="s">
        <v>171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12"/>
    </row>
    <row r="540" spans="1:20" ht="12" customHeight="1">
      <c r="A540" s="7"/>
      <c r="B540" s="31" t="s">
        <v>308</v>
      </c>
      <c r="C540" s="7">
        <v>1</v>
      </c>
      <c r="D540" s="7">
        <v>10</v>
      </c>
      <c r="E540" s="7">
        <v>1551</v>
      </c>
      <c r="F540" s="7">
        <f aca="true" t="shared" si="60" ref="F540:F549">E540*C540</f>
        <v>1551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4">
        <f aca="true" t="shared" si="61" ref="Q540:Q549">E540*C540+SUM(G540:O540)</f>
        <v>1551</v>
      </c>
      <c r="R540" s="7"/>
      <c r="S540" s="4">
        <f aca="true" t="shared" si="62" ref="S540:S549">Q540*$R$17</f>
        <v>18612</v>
      </c>
      <c r="T540" s="12"/>
    </row>
    <row r="541" spans="1:20" ht="12" customHeight="1">
      <c r="A541" s="7"/>
      <c r="B541" s="31" t="s">
        <v>110</v>
      </c>
      <c r="C541" s="7">
        <v>1</v>
      </c>
      <c r="D541" s="7">
        <v>5</v>
      </c>
      <c r="E541" s="7">
        <v>1253</v>
      </c>
      <c r="F541" s="7">
        <f t="shared" si="60"/>
        <v>1253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4">
        <f t="shared" si="61"/>
        <v>1253</v>
      </c>
      <c r="R541" s="7"/>
      <c r="S541" s="4">
        <f t="shared" si="62"/>
        <v>15036</v>
      </c>
      <c r="T541" s="12"/>
    </row>
    <row r="542" spans="1:20" ht="12" customHeight="1">
      <c r="A542" s="7"/>
      <c r="B542" s="31" t="s">
        <v>346</v>
      </c>
      <c r="C542" s="7">
        <v>1.5</v>
      </c>
      <c r="D542" s="7">
        <v>8</v>
      </c>
      <c r="E542" s="4">
        <v>1397</v>
      </c>
      <c r="F542" s="7">
        <f t="shared" si="60"/>
        <v>2095.5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4">
        <f t="shared" si="61"/>
        <v>2095.5</v>
      </c>
      <c r="R542" s="7"/>
      <c r="S542" s="4">
        <f t="shared" si="62"/>
        <v>25146</v>
      </c>
      <c r="T542" s="12"/>
    </row>
    <row r="543" spans="1:20" ht="12" customHeight="1">
      <c r="A543" s="7"/>
      <c r="B543" s="31" t="s">
        <v>403</v>
      </c>
      <c r="C543" s="7">
        <v>1</v>
      </c>
      <c r="D543" s="7">
        <v>5</v>
      </c>
      <c r="E543" s="7">
        <v>1253</v>
      </c>
      <c r="F543" s="7">
        <f t="shared" si="60"/>
        <v>1253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4">
        <f t="shared" si="61"/>
        <v>1253</v>
      </c>
      <c r="R543" s="7"/>
      <c r="S543" s="4">
        <f t="shared" si="62"/>
        <v>15036</v>
      </c>
      <c r="T543" s="12"/>
    </row>
    <row r="544" spans="1:20" ht="12" customHeight="1">
      <c r="A544" s="7"/>
      <c r="B544" s="31" t="s">
        <v>404</v>
      </c>
      <c r="C544" s="7">
        <v>1</v>
      </c>
      <c r="D544" s="7">
        <v>5</v>
      </c>
      <c r="E544" s="7">
        <v>1253</v>
      </c>
      <c r="F544" s="7">
        <f t="shared" si="60"/>
        <v>1253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4">
        <f t="shared" si="61"/>
        <v>1253</v>
      </c>
      <c r="R544" s="7"/>
      <c r="S544" s="4">
        <f t="shared" si="62"/>
        <v>15036</v>
      </c>
      <c r="T544" s="12"/>
    </row>
    <row r="545" spans="1:20" ht="12" customHeight="1">
      <c r="A545" s="7"/>
      <c r="B545" s="31" t="s">
        <v>405</v>
      </c>
      <c r="C545" s="7">
        <v>1</v>
      </c>
      <c r="D545" s="7">
        <v>10</v>
      </c>
      <c r="E545" s="7">
        <v>1551</v>
      </c>
      <c r="F545" s="7">
        <f t="shared" si="60"/>
        <v>1551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4">
        <f t="shared" si="61"/>
        <v>1551</v>
      </c>
      <c r="R545" s="7"/>
      <c r="S545" s="4">
        <f t="shared" si="62"/>
        <v>18612</v>
      </c>
      <c r="T545" s="12"/>
    </row>
    <row r="546" spans="1:20" ht="12" customHeight="1">
      <c r="A546" s="7"/>
      <c r="B546" s="31" t="s">
        <v>406</v>
      </c>
      <c r="C546" s="7">
        <v>4</v>
      </c>
      <c r="D546" s="7">
        <v>4</v>
      </c>
      <c r="E546" s="7">
        <v>1243</v>
      </c>
      <c r="F546" s="7">
        <f t="shared" si="60"/>
        <v>4972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4">
        <f t="shared" si="61"/>
        <v>4972</v>
      </c>
      <c r="R546" s="7"/>
      <c r="S546" s="4">
        <f t="shared" si="62"/>
        <v>59664</v>
      </c>
      <c r="T546" s="12"/>
    </row>
    <row r="547" spans="1:20" ht="12" customHeight="1">
      <c r="A547" s="7"/>
      <c r="B547" s="31" t="s">
        <v>407</v>
      </c>
      <c r="C547" s="7">
        <v>1</v>
      </c>
      <c r="D547" s="7">
        <v>4</v>
      </c>
      <c r="E547" s="7">
        <v>1243</v>
      </c>
      <c r="F547" s="7">
        <f t="shared" si="60"/>
        <v>1243</v>
      </c>
      <c r="G547" s="7"/>
      <c r="H547" s="7"/>
      <c r="I547" s="4"/>
      <c r="J547" s="7"/>
      <c r="K547" s="7"/>
      <c r="L547" s="7"/>
      <c r="M547" s="7"/>
      <c r="N547" s="7"/>
      <c r="O547" s="7"/>
      <c r="P547" s="4"/>
      <c r="Q547" s="4">
        <f t="shared" si="61"/>
        <v>1243</v>
      </c>
      <c r="R547" s="7"/>
      <c r="S547" s="4">
        <f t="shared" si="62"/>
        <v>14916</v>
      </c>
      <c r="T547" s="12"/>
    </row>
    <row r="548" spans="1:20" ht="12" customHeight="1">
      <c r="A548" s="7"/>
      <c r="B548" s="123" t="s">
        <v>408</v>
      </c>
      <c r="C548" s="7">
        <v>0.5</v>
      </c>
      <c r="D548" s="7">
        <v>4</v>
      </c>
      <c r="E548" s="7">
        <v>1243</v>
      </c>
      <c r="F548" s="4">
        <f t="shared" si="60"/>
        <v>621.5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4">
        <f t="shared" si="61"/>
        <v>621.5</v>
      </c>
      <c r="R548" s="7"/>
      <c r="S548" s="4">
        <f t="shared" si="62"/>
        <v>7458</v>
      </c>
      <c r="T548" s="12"/>
    </row>
    <row r="549" spans="1:20" ht="12" customHeight="1">
      <c r="A549" s="7"/>
      <c r="B549" s="31" t="s">
        <v>409</v>
      </c>
      <c r="C549" s="7">
        <v>1</v>
      </c>
      <c r="D549" s="7">
        <v>4</v>
      </c>
      <c r="E549" s="7">
        <v>1243</v>
      </c>
      <c r="F549" s="7">
        <f t="shared" si="60"/>
        <v>1243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4">
        <f t="shared" si="61"/>
        <v>1243</v>
      </c>
      <c r="R549" s="7"/>
      <c r="S549" s="4">
        <f t="shared" si="62"/>
        <v>14916</v>
      </c>
      <c r="T549" s="12"/>
    </row>
    <row r="550" spans="1:20" ht="12" customHeight="1">
      <c r="A550" s="10"/>
      <c r="B550" s="26" t="s">
        <v>40</v>
      </c>
      <c r="C550" s="10">
        <f>SUM(C540:C549)</f>
        <v>13</v>
      </c>
      <c r="D550" s="10"/>
      <c r="E550" s="10"/>
      <c r="F550" s="10">
        <f>SUM(F540:F549)</f>
        <v>17036</v>
      </c>
      <c r="G550" s="10"/>
      <c r="H550" s="10"/>
      <c r="I550" s="11"/>
      <c r="J550" s="10"/>
      <c r="K550" s="10"/>
      <c r="L550" s="10"/>
      <c r="M550" s="10"/>
      <c r="N550" s="10"/>
      <c r="O550" s="10"/>
      <c r="P550" s="11"/>
      <c r="Q550" s="11">
        <f>SUM(Q540:Q549)</f>
        <v>17036</v>
      </c>
      <c r="R550" s="11">
        <f>SUM(R540:R549)</f>
        <v>0</v>
      </c>
      <c r="S550" s="11">
        <f>SUM(S540:S549)</f>
        <v>204432</v>
      </c>
      <c r="T550" s="12"/>
    </row>
    <row r="551" spans="1:20" ht="24" customHeight="1">
      <c r="A551" s="3" t="s">
        <v>66</v>
      </c>
      <c r="B551" s="2" t="s">
        <v>176</v>
      </c>
      <c r="C551" s="3"/>
      <c r="D551" s="3"/>
      <c r="E551" s="3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12"/>
    </row>
    <row r="552" spans="1:20" ht="12" customHeight="1">
      <c r="A552" s="7"/>
      <c r="B552" s="31" t="s">
        <v>96</v>
      </c>
      <c r="C552" s="7">
        <v>1</v>
      </c>
      <c r="D552" s="7">
        <v>10</v>
      </c>
      <c r="E552" s="7">
        <v>1551</v>
      </c>
      <c r="F552" s="7">
        <f>E552*C552</f>
        <v>1551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4">
        <f>E552*C552+SUM(G552:O552)</f>
        <v>1551</v>
      </c>
      <c r="R552" s="7"/>
      <c r="S552" s="4">
        <f>Q552*$R$17</f>
        <v>18612</v>
      </c>
      <c r="T552" s="12"/>
    </row>
    <row r="553" spans="1:20" ht="12" customHeight="1">
      <c r="A553" s="7"/>
      <c r="B553" s="31" t="s">
        <v>46</v>
      </c>
      <c r="C553" s="7">
        <v>1</v>
      </c>
      <c r="D553" s="7">
        <v>9</v>
      </c>
      <c r="E553" s="7">
        <v>1474</v>
      </c>
      <c r="F553" s="7">
        <f>E553*C553</f>
        <v>1474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4">
        <f>E553*C553+SUM(G553:O553)</f>
        <v>1474</v>
      </c>
      <c r="R553" s="7"/>
      <c r="S553" s="4">
        <f>Q553*$R$17</f>
        <v>17688</v>
      </c>
      <c r="T553" s="12"/>
    </row>
    <row r="554" spans="1:20" ht="12" customHeight="1">
      <c r="A554" s="7"/>
      <c r="B554" s="31" t="s">
        <v>77</v>
      </c>
      <c r="C554" s="7">
        <v>2</v>
      </c>
      <c r="D554" s="7">
        <v>7</v>
      </c>
      <c r="E554" s="7">
        <v>1312</v>
      </c>
      <c r="F554" s="7">
        <f>E554*C554</f>
        <v>2624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4">
        <f>E554*C554+SUM(G554:O554)</f>
        <v>2624</v>
      </c>
      <c r="R554" s="7"/>
      <c r="S554" s="4">
        <f>Q554*$R$17</f>
        <v>31488</v>
      </c>
      <c r="T554" s="12"/>
    </row>
    <row r="555" spans="1:20" ht="12" customHeight="1">
      <c r="A555" s="10"/>
      <c r="B555" s="26" t="s">
        <v>40</v>
      </c>
      <c r="C555" s="10">
        <f>SUM(C552:C554)</f>
        <v>4</v>
      </c>
      <c r="D555" s="10"/>
      <c r="E555" s="10"/>
      <c r="F555" s="10">
        <f>SUM(F552:F554)</f>
        <v>5649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1">
        <f>SUM(Q552:Q554)</f>
        <v>5649</v>
      </c>
      <c r="R555" s="10">
        <f>SUM(R552:R554)</f>
        <v>0</v>
      </c>
      <c r="S555" s="10">
        <f>SUM(S552:S554)</f>
        <v>67788</v>
      </c>
      <c r="T555" s="12"/>
    </row>
    <row r="556" spans="1:20" ht="12" customHeight="1">
      <c r="A556" s="3" t="s">
        <v>67</v>
      </c>
      <c r="B556" s="2" t="s">
        <v>472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12"/>
    </row>
    <row r="557" spans="1:20" ht="12" customHeight="1">
      <c r="A557" s="7"/>
      <c r="B557" s="31" t="s">
        <v>326</v>
      </c>
      <c r="C557" s="7">
        <v>1</v>
      </c>
      <c r="D557" s="7">
        <v>10</v>
      </c>
      <c r="E557" s="7">
        <v>1551</v>
      </c>
      <c r="F557" s="7">
        <f>E557*C557</f>
        <v>1551</v>
      </c>
      <c r="G557" s="7"/>
      <c r="H557" s="7"/>
      <c r="I557" s="4">
        <f>E557*C557*0.3</f>
        <v>465.29999999999995</v>
      </c>
      <c r="J557" s="7"/>
      <c r="K557" s="7"/>
      <c r="L557" s="7"/>
      <c r="M557" s="7"/>
      <c r="N557" s="7"/>
      <c r="O557" s="7"/>
      <c r="P557" s="4">
        <f>SUM(G557:O557)</f>
        <v>465.29999999999995</v>
      </c>
      <c r="Q557" s="4">
        <f>E557*C557+SUM(G557:O557)</f>
        <v>2016.3</v>
      </c>
      <c r="R557" s="7"/>
      <c r="S557" s="4">
        <f>Q557*$R$17</f>
        <v>24195.6</v>
      </c>
      <c r="T557" s="12"/>
    </row>
    <row r="558" spans="1:20" ht="12" customHeight="1">
      <c r="A558" s="7"/>
      <c r="B558" s="31" t="s">
        <v>164</v>
      </c>
      <c r="C558" s="7">
        <v>1</v>
      </c>
      <c r="D558" s="7">
        <v>6</v>
      </c>
      <c r="E558" s="4">
        <v>1263</v>
      </c>
      <c r="F558" s="71">
        <f>E558*C558</f>
        <v>1263</v>
      </c>
      <c r="G558" s="7"/>
      <c r="H558" s="7"/>
      <c r="I558" s="4"/>
      <c r="J558" s="4"/>
      <c r="K558" s="4"/>
      <c r="L558" s="4"/>
      <c r="M558" s="4"/>
      <c r="N558" s="4"/>
      <c r="O558" s="4"/>
      <c r="P558" s="4"/>
      <c r="Q558" s="4">
        <f>E558*C558+SUM(G558:O558)</f>
        <v>1263</v>
      </c>
      <c r="R558" s="4"/>
      <c r="S558" s="4">
        <f>Q558*$R$17</f>
        <v>15156</v>
      </c>
      <c r="T558" s="12"/>
    </row>
    <row r="559" spans="1:20" ht="12" customHeight="1">
      <c r="A559" s="8"/>
      <c r="B559" s="27" t="s">
        <v>122</v>
      </c>
      <c r="C559" s="8">
        <v>1</v>
      </c>
      <c r="D559" s="8">
        <v>5</v>
      </c>
      <c r="E559" s="8">
        <v>1253</v>
      </c>
      <c r="F559" s="8">
        <f>E559*C559</f>
        <v>1253</v>
      </c>
      <c r="G559" s="8"/>
      <c r="H559" s="8"/>
      <c r="I559" s="9"/>
      <c r="J559" s="8"/>
      <c r="K559" s="8"/>
      <c r="L559" s="8"/>
      <c r="M559" s="8"/>
      <c r="N559" s="8"/>
      <c r="O559" s="8"/>
      <c r="P559" s="9"/>
      <c r="Q559" s="9">
        <f>E559*C559+SUM(G559:O559)</f>
        <v>1253</v>
      </c>
      <c r="R559" s="8"/>
      <c r="S559" s="9">
        <f>Q559*$R$17</f>
        <v>15036</v>
      </c>
      <c r="T559" s="12"/>
    </row>
    <row r="560" spans="1:20" ht="12" customHeight="1">
      <c r="A560" s="10"/>
      <c r="B560" s="26" t="s">
        <v>40</v>
      </c>
      <c r="C560" s="10">
        <f>SUM(C557:C559)</f>
        <v>3</v>
      </c>
      <c r="D560" s="10"/>
      <c r="E560" s="10"/>
      <c r="F560" s="10">
        <f>SUM(F557:F559)</f>
        <v>4067</v>
      </c>
      <c r="G560" s="10"/>
      <c r="H560" s="10"/>
      <c r="I560" s="11">
        <f>SUM(I557:I559)</f>
        <v>465.29999999999995</v>
      </c>
      <c r="J560" s="11"/>
      <c r="K560" s="11"/>
      <c r="L560" s="11"/>
      <c r="M560" s="11"/>
      <c r="N560" s="11"/>
      <c r="O560" s="11"/>
      <c r="P560" s="11">
        <f>SUM(P557:P559)</f>
        <v>465.29999999999995</v>
      </c>
      <c r="Q560" s="11">
        <f>SUM(Q557:Q559)</f>
        <v>4532.3</v>
      </c>
      <c r="R560" s="11">
        <f>SUM(R557:R558)</f>
        <v>0</v>
      </c>
      <c r="S560" s="11">
        <f>SUM(S557:S559)</f>
        <v>54387.6</v>
      </c>
      <c r="T560" s="12"/>
    </row>
    <row r="561" spans="1:20" ht="12" customHeight="1">
      <c r="A561" s="3" t="s">
        <v>68</v>
      </c>
      <c r="B561" s="2" t="s">
        <v>273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12"/>
    </row>
    <row r="562" spans="1:20" ht="12" customHeight="1">
      <c r="A562" s="7"/>
      <c r="B562" s="31" t="s">
        <v>96</v>
      </c>
      <c r="C562" s="7">
        <v>1</v>
      </c>
      <c r="D562" s="7">
        <v>12</v>
      </c>
      <c r="E562" s="7">
        <v>1806</v>
      </c>
      <c r="F562" s="7">
        <f>E562*C562</f>
        <v>1806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4">
        <f>E562*C562+SUM(G562:O562)</f>
        <v>1806</v>
      </c>
      <c r="R562" s="7"/>
      <c r="S562" s="4">
        <f>Q562*$R$17</f>
        <v>21672</v>
      </c>
      <c r="T562" s="12"/>
    </row>
    <row r="563" spans="1:20" ht="12" customHeight="1">
      <c r="A563" s="7"/>
      <c r="B563" s="31" t="s">
        <v>551</v>
      </c>
      <c r="C563" s="7">
        <v>1</v>
      </c>
      <c r="D563" s="7"/>
      <c r="E563" s="7">
        <v>1716</v>
      </c>
      <c r="F563" s="7">
        <f>E563*C563</f>
        <v>1716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4">
        <f>E563*C563+SUM(G563:O563)</f>
        <v>1716</v>
      </c>
      <c r="R563" s="7"/>
      <c r="S563" s="4">
        <f>Q563*$R$17</f>
        <v>20592</v>
      </c>
      <c r="T563" s="12"/>
    </row>
    <row r="564" spans="1:20" ht="12" customHeight="1">
      <c r="A564" s="8"/>
      <c r="B564" s="31" t="s">
        <v>491</v>
      </c>
      <c r="C564" s="7">
        <v>1</v>
      </c>
      <c r="D564" s="7">
        <v>6</v>
      </c>
      <c r="E564" s="4">
        <v>1263</v>
      </c>
      <c r="F564" s="71">
        <f>E564*C564</f>
        <v>1263</v>
      </c>
      <c r="G564" s="7"/>
      <c r="H564" s="7"/>
      <c r="I564" s="4"/>
      <c r="J564" s="8"/>
      <c r="K564" s="8"/>
      <c r="L564" s="8"/>
      <c r="M564" s="8"/>
      <c r="N564" s="8"/>
      <c r="O564" s="8"/>
      <c r="P564" s="8"/>
      <c r="Q564" s="9">
        <f>E564*C564+SUM(G564:O564)</f>
        <v>1263</v>
      </c>
      <c r="R564" s="8"/>
      <c r="S564" s="9">
        <f>Q564*$R$17</f>
        <v>15156</v>
      </c>
      <c r="T564" s="12"/>
    </row>
    <row r="565" spans="1:20" ht="12" customHeight="1">
      <c r="A565" s="10"/>
      <c r="B565" s="26" t="s">
        <v>40</v>
      </c>
      <c r="C565" s="11">
        <f>SUM(C562:C564)</f>
        <v>3</v>
      </c>
      <c r="D565" s="11"/>
      <c r="E565" s="11"/>
      <c r="F565" s="11">
        <f>SUM(F562:F564)</f>
        <v>4785</v>
      </c>
      <c r="G565" s="11"/>
      <c r="H565" s="10"/>
      <c r="I565" s="10"/>
      <c r="J565" s="10"/>
      <c r="K565" s="10"/>
      <c r="L565" s="10"/>
      <c r="M565" s="10"/>
      <c r="N565" s="10"/>
      <c r="O565" s="10"/>
      <c r="P565" s="10"/>
      <c r="Q565" s="11">
        <f>SUM(Q562:Q564)</f>
        <v>4785</v>
      </c>
      <c r="R565" s="11">
        <f>SUM(R562:R564)</f>
        <v>0</v>
      </c>
      <c r="S565" s="11">
        <f>SUM(S562:S564)</f>
        <v>57420</v>
      </c>
      <c r="T565" s="12"/>
    </row>
    <row r="566" spans="1:20" ht="12" customHeight="1">
      <c r="A566" s="3" t="s">
        <v>70</v>
      </c>
      <c r="B566" s="2" t="s">
        <v>351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12"/>
    </row>
    <row r="567" spans="1:20" ht="12" customHeight="1">
      <c r="A567" s="7"/>
      <c r="B567" s="31" t="s">
        <v>297</v>
      </c>
      <c r="C567" s="7">
        <v>1</v>
      </c>
      <c r="D567" s="7">
        <v>4</v>
      </c>
      <c r="E567" s="7">
        <v>1243</v>
      </c>
      <c r="F567" s="7">
        <f>E567*C567</f>
        <v>1243</v>
      </c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4">
        <f>E567*C567+SUM(G567:O567)</f>
        <v>1243</v>
      </c>
      <c r="R567" s="7"/>
      <c r="S567" s="4">
        <f>Q567*$R$17</f>
        <v>14916</v>
      </c>
      <c r="T567" s="12"/>
    </row>
    <row r="568" spans="1:20" ht="12" customHeight="1">
      <c r="A568" s="8"/>
      <c r="B568" s="53" t="s">
        <v>110</v>
      </c>
      <c r="C568" s="7">
        <v>1</v>
      </c>
      <c r="D568" s="7">
        <v>4</v>
      </c>
      <c r="E568" s="7">
        <v>1243</v>
      </c>
      <c r="F568" s="7">
        <f>E568*C568</f>
        <v>1243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4">
        <f>E568*C568+SUM(G568:O568)</f>
        <v>1243</v>
      </c>
      <c r="R568" s="7"/>
      <c r="S568" s="4">
        <f>Q568*$R$17</f>
        <v>14916</v>
      </c>
      <c r="T568" s="12"/>
    </row>
    <row r="569" spans="1:20" ht="12" customHeight="1">
      <c r="A569" s="8"/>
      <c r="B569" s="27" t="s">
        <v>40</v>
      </c>
      <c r="C569" s="10">
        <f>SUM(C567:C568)</f>
        <v>2</v>
      </c>
      <c r="D569" s="10"/>
      <c r="E569" s="10"/>
      <c r="F569" s="10">
        <f>SUM(F567:F568)</f>
        <v>2486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>
        <f>SUM(Q567:Q568)</f>
        <v>2486</v>
      </c>
      <c r="R569" s="10">
        <f>SUM(R567:R568)</f>
        <v>0</v>
      </c>
      <c r="S569" s="10">
        <f>SUM(S567:S568)</f>
        <v>29832</v>
      </c>
      <c r="T569" s="12"/>
    </row>
    <row r="570" spans="1:20" ht="12" customHeight="1">
      <c r="A570" s="3" t="s">
        <v>71</v>
      </c>
      <c r="B570" s="2" t="s">
        <v>127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12"/>
    </row>
    <row r="571" spans="1:20" ht="12" customHeight="1">
      <c r="A571" s="8"/>
      <c r="B571" s="27" t="s">
        <v>128</v>
      </c>
      <c r="C571" s="8">
        <v>1</v>
      </c>
      <c r="D571" s="8">
        <v>9</v>
      </c>
      <c r="E571" s="8">
        <v>1474</v>
      </c>
      <c r="F571" s="7">
        <f>E571*C571</f>
        <v>1474</v>
      </c>
      <c r="G571" s="8"/>
      <c r="H571" s="8"/>
      <c r="I571" s="8"/>
      <c r="J571" s="8"/>
      <c r="K571" s="8"/>
      <c r="L571" s="8"/>
      <c r="M571" s="8"/>
      <c r="N571" s="8"/>
      <c r="O571" s="8"/>
      <c r="P571" s="7"/>
      <c r="Q571" s="4">
        <f>E571*C571+SUM(G571:O571)</f>
        <v>1474</v>
      </c>
      <c r="R571" s="7"/>
      <c r="S571" s="4">
        <f>Q571*$R$17</f>
        <v>17688</v>
      </c>
      <c r="T571" s="12"/>
    </row>
    <row r="572" spans="1:20" ht="12" customHeight="1">
      <c r="A572" s="10"/>
      <c r="B572" s="26" t="s">
        <v>40</v>
      </c>
      <c r="C572" s="10">
        <f>SUM(C571)</f>
        <v>1</v>
      </c>
      <c r="D572" s="10"/>
      <c r="E572" s="10"/>
      <c r="F572" s="10">
        <f>SUM(F571)</f>
        <v>1474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>
        <f>SUM(Q571:Q571)</f>
        <v>1474</v>
      </c>
      <c r="R572" s="10"/>
      <c r="S572" s="10">
        <f>SUM(S571)</f>
        <v>17688</v>
      </c>
      <c r="T572" s="12"/>
    </row>
    <row r="573" spans="1:20" ht="12" customHeight="1">
      <c r="A573" s="3" t="s">
        <v>72</v>
      </c>
      <c r="B573" s="2" t="s">
        <v>183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12"/>
    </row>
    <row r="574" spans="1:20" ht="12" customHeight="1">
      <c r="A574" s="7"/>
      <c r="B574" s="31" t="s">
        <v>96</v>
      </c>
      <c r="C574" s="7">
        <v>1</v>
      </c>
      <c r="D574" s="7">
        <v>11</v>
      </c>
      <c r="E574" s="7">
        <v>1678</v>
      </c>
      <c r="F574" s="7">
        <f aca="true" t="shared" si="63" ref="F574:F579">E574*C574</f>
        <v>1678</v>
      </c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4">
        <f aca="true" t="shared" si="64" ref="Q574:Q579">E574*C574+SUM(G574:O574)</f>
        <v>1678</v>
      </c>
      <c r="R574" s="7"/>
      <c r="S574" s="4">
        <f aca="true" t="shared" si="65" ref="S574:S579">Q574*$R$17</f>
        <v>20136</v>
      </c>
      <c r="T574" s="12"/>
    </row>
    <row r="575" spans="1:20" ht="12" customHeight="1">
      <c r="A575" s="7"/>
      <c r="B575" s="31" t="s">
        <v>175</v>
      </c>
      <c r="C575" s="7">
        <v>1</v>
      </c>
      <c r="D575" s="7">
        <v>7</v>
      </c>
      <c r="E575" s="7">
        <v>1312</v>
      </c>
      <c r="F575" s="7">
        <f t="shared" si="63"/>
        <v>1312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4">
        <f t="shared" si="64"/>
        <v>1312</v>
      </c>
      <c r="R575" s="7"/>
      <c r="S575" s="4">
        <f t="shared" si="65"/>
        <v>15744</v>
      </c>
      <c r="T575" s="12"/>
    </row>
    <row r="576" spans="1:20" ht="12" customHeight="1">
      <c r="A576" s="7"/>
      <c r="B576" s="31" t="s">
        <v>139</v>
      </c>
      <c r="C576" s="7">
        <v>1</v>
      </c>
      <c r="D576" s="7">
        <v>7</v>
      </c>
      <c r="E576" s="7">
        <v>1312</v>
      </c>
      <c r="F576" s="7">
        <f t="shared" si="63"/>
        <v>1312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4">
        <f t="shared" si="64"/>
        <v>1312</v>
      </c>
      <c r="R576" s="7"/>
      <c r="S576" s="4">
        <f t="shared" si="65"/>
        <v>15744</v>
      </c>
      <c r="T576" s="12"/>
    </row>
    <row r="577" spans="1:20" ht="12" customHeight="1">
      <c r="A577" s="7"/>
      <c r="B577" s="31" t="s">
        <v>552</v>
      </c>
      <c r="C577" s="7">
        <v>1</v>
      </c>
      <c r="D577" s="7">
        <v>4</v>
      </c>
      <c r="E577" s="7">
        <v>1243</v>
      </c>
      <c r="F577" s="7">
        <f t="shared" si="63"/>
        <v>1243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4">
        <f t="shared" si="64"/>
        <v>1243</v>
      </c>
      <c r="R577" s="7"/>
      <c r="S577" s="4">
        <f t="shared" si="65"/>
        <v>14916</v>
      </c>
      <c r="T577" s="12"/>
    </row>
    <row r="578" spans="1:20" ht="12" customHeight="1">
      <c r="A578" s="7"/>
      <c r="B578" s="55" t="s">
        <v>553</v>
      </c>
      <c r="C578" s="7">
        <v>2</v>
      </c>
      <c r="D578" s="7">
        <v>4</v>
      </c>
      <c r="E578" s="7">
        <v>1243</v>
      </c>
      <c r="F578" s="7">
        <f t="shared" si="63"/>
        <v>2486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4">
        <f t="shared" si="64"/>
        <v>2486</v>
      </c>
      <c r="R578" s="7"/>
      <c r="S578" s="4">
        <f t="shared" si="65"/>
        <v>29832</v>
      </c>
      <c r="T578" s="12"/>
    </row>
    <row r="579" spans="1:20" ht="12" customHeight="1">
      <c r="A579" s="7"/>
      <c r="B579" s="31" t="s">
        <v>554</v>
      </c>
      <c r="C579" s="7">
        <v>1</v>
      </c>
      <c r="D579" s="7">
        <v>4</v>
      </c>
      <c r="E579" s="7">
        <v>1243</v>
      </c>
      <c r="F579" s="7">
        <f t="shared" si="63"/>
        <v>1243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4">
        <f t="shared" si="64"/>
        <v>1243</v>
      </c>
      <c r="R579" s="7"/>
      <c r="S579" s="4">
        <f t="shared" si="65"/>
        <v>14916</v>
      </c>
      <c r="T579" s="12"/>
    </row>
    <row r="580" spans="1:20" ht="12" customHeight="1">
      <c r="A580" s="10"/>
      <c r="B580" s="26" t="s">
        <v>40</v>
      </c>
      <c r="C580" s="10">
        <f>SUM(C574:C579)</f>
        <v>7</v>
      </c>
      <c r="D580" s="10"/>
      <c r="E580" s="10"/>
      <c r="F580" s="10">
        <f>SUM(F574:F579)</f>
        <v>9274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1">
        <f>SUM(Q574:Q579)</f>
        <v>9274</v>
      </c>
      <c r="R580" s="11">
        <f>SUM(R574:R579)</f>
        <v>0</v>
      </c>
      <c r="S580" s="11">
        <f>SUM(S574:S579)</f>
        <v>111288</v>
      </c>
      <c r="T580" s="12"/>
    </row>
    <row r="581" spans="1:20" ht="12.75" customHeight="1">
      <c r="A581" s="3" t="s">
        <v>74</v>
      </c>
      <c r="B581" s="2" t="s">
        <v>111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12"/>
    </row>
    <row r="582" spans="1:20" ht="12.75" customHeight="1">
      <c r="A582" s="7"/>
      <c r="B582" s="31" t="s">
        <v>226</v>
      </c>
      <c r="C582" s="7">
        <v>1</v>
      </c>
      <c r="D582" s="7">
        <v>7</v>
      </c>
      <c r="E582" s="7">
        <v>1312</v>
      </c>
      <c r="F582" s="7">
        <f>E582*C582</f>
        <v>1312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4">
        <f>E582*C582+SUM(G582:O582)</f>
        <v>1312</v>
      </c>
      <c r="R582" s="7"/>
      <c r="S582" s="4">
        <f>Q582*$R$17</f>
        <v>15744</v>
      </c>
      <c r="T582" s="12"/>
    </row>
    <row r="583" spans="1:20" ht="36.75" customHeight="1">
      <c r="A583" s="7"/>
      <c r="B583" s="31" t="s">
        <v>520</v>
      </c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4"/>
      <c r="R583" s="7"/>
      <c r="S583" s="4"/>
      <c r="T583" s="12"/>
    </row>
    <row r="584" spans="1:20" ht="12.75" customHeight="1">
      <c r="A584" s="7"/>
      <c r="B584" s="31" t="s">
        <v>212</v>
      </c>
      <c r="C584" s="7">
        <v>5</v>
      </c>
      <c r="D584" s="7">
        <v>2</v>
      </c>
      <c r="E584" s="42">
        <v>1223</v>
      </c>
      <c r="F584" s="7">
        <f>E584*C584</f>
        <v>6115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4">
        <f>E584*C584+SUM(G584:O584)</f>
        <v>6115</v>
      </c>
      <c r="R584" s="7"/>
      <c r="S584" s="4">
        <f>Q584*$R$17</f>
        <v>73380</v>
      </c>
      <c r="T584" s="12"/>
    </row>
    <row r="585" spans="1:20" ht="40.5" customHeight="1">
      <c r="A585" s="7"/>
      <c r="B585" s="31" t="s">
        <v>499</v>
      </c>
      <c r="C585" s="7">
        <v>13</v>
      </c>
      <c r="D585" s="7">
        <v>2</v>
      </c>
      <c r="E585" s="7">
        <v>1223</v>
      </c>
      <c r="F585" s="7">
        <f>E585*C585</f>
        <v>15899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4">
        <f>SUM(F585:O585)</f>
        <v>15899</v>
      </c>
      <c r="R585" s="7"/>
      <c r="S585" s="4">
        <f>Q585*$R$17</f>
        <v>190788</v>
      </c>
      <c r="T585" s="12"/>
    </row>
    <row r="586" spans="1:20" ht="12.75" customHeight="1">
      <c r="A586" s="7"/>
      <c r="B586" s="120" t="s">
        <v>216</v>
      </c>
      <c r="C586" s="7">
        <v>6</v>
      </c>
      <c r="D586" s="7">
        <v>2</v>
      </c>
      <c r="E586" s="7">
        <v>1223</v>
      </c>
      <c r="F586" s="7">
        <f>E586*C586</f>
        <v>7338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4">
        <f>SUM(F586:O586)</f>
        <v>7338</v>
      </c>
      <c r="R586" s="7"/>
      <c r="S586" s="4">
        <f>Q586*$R$17</f>
        <v>88056</v>
      </c>
      <c r="T586" s="12"/>
    </row>
    <row r="587" spans="1:20" ht="12.75" customHeight="1">
      <c r="A587" s="10"/>
      <c r="B587" s="26" t="s">
        <v>40</v>
      </c>
      <c r="C587" s="10">
        <f>SUM(C582:C586)</f>
        <v>25</v>
      </c>
      <c r="D587" s="10"/>
      <c r="E587" s="10"/>
      <c r="F587" s="10">
        <f>SUM(F582:F586)</f>
        <v>30664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1">
        <f>SUM(Q582:Q586)</f>
        <v>30664</v>
      </c>
      <c r="R587" s="10">
        <f>SUM(R582:R586)</f>
        <v>0</v>
      </c>
      <c r="S587" s="11">
        <f>SUM(S582:S586)</f>
        <v>367968</v>
      </c>
      <c r="T587" s="12"/>
    </row>
    <row r="588" spans="1:20" ht="12.75" customHeight="1">
      <c r="A588" s="3" t="s">
        <v>76</v>
      </c>
      <c r="B588" s="2" t="s">
        <v>274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5"/>
      <c r="R588" s="5"/>
      <c r="S588" s="5"/>
      <c r="T588" s="12"/>
    </row>
    <row r="589" spans="1:20" ht="12.75">
      <c r="A589" s="7"/>
      <c r="B589" s="31" t="s">
        <v>96</v>
      </c>
      <c r="C589" s="7">
        <v>1</v>
      </c>
      <c r="D589" s="7">
        <v>10</v>
      </c>
      <c r="E589" s="4">
        <v>1551</v>
      </c>
      <c r="F589" s="7">
        <f>E589*C589</f>
        <v>1551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>
        <f>E589*C589+SUM(G589:O589)</f>
        <v>1551</v>
      </c>
      <c r="R589" s="7"/>
      <c r="S589" s="4">
        <f>Q589*$R$17</f>
        <v>18612</v>
      </c>
      <c r="T589" s="12"/>
    </row>
    <row r="590" spans="1:20" ht="12.75">
      <c r="A590" s="7"/>
      <c r="B590" s="31" t="s">
        <v>61</v>
      </c>
      <c r="C590" s="7">
        <v>1</v>
      </c>
      <c r="D590" s="7">
        <v>7</v>
      </c>
      <c r="E590" s="4">
        <v>1312</v>
      </c>
      <c r="F590" s="7">
        <f>E590*C590</f>
        <v>1312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>
        <f>E590*C590+SUM(G590:O590)</f>
        <v>1312</v>
      </c>
      <c r="R590" s="7"/>
      <c r="S590" s="4">
        <f>Q590*$R$17</f>
        <v>15744</v>
      </c>
      <c r="T590" s="12"/>
    </row>
    <row r="591" spans="1:20" ht="12.75">
      <c r="A591" s="7"/>
      <c r="B591" s="31" t="s">
        <v>122</v>
      </c>
      <c r="C591" s="7">
        <v>1</v>
      </c>
      <c r="D591" s="7">
        <v>5</v>
      </c>
      <c r="E591" s="4">
        <v>1253</v>
      </c>
      <c r="F591" s="7">
        <f>E591*C591</f>
        <v>1253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>
        <f>E591*C591+SUM(G591:O591)</f>
        <v>1253</v>
      </c>
      <c r="R591" s="7"/>
      <c r="S591" s="4">
        <f>Q591*$R$17</f>
        <v>15036</v>
      </c>
      <c r="T591" s="12"/>
    </row>
    <row r="592" spans="1:20" ht="12.75">
      <c r="A592" s="10"/>
      <c r="B592" s="26" t="s">
        <v>40</v>
      </c>
      <c r="C592" s="10">
        <f>SUM(C589:C591)</f>
        <v>3</v>
      </c>
      <c r="D592" s="10"/>
      <c r="E592" s="10">
        <f>SUM(E589:E591)</f>
        <v>4116</v>
      </c>
      <c r="F592" s="10">
        <f>SUM(F589:F591)</f>
        <v>4116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>
        <f>SUM(Q589:Q591)</f>
        <v>4116</v>
      </c>
      <c r="R592" s="10">
        <f>SUM(R589:R591)</f>
        <v>0</v>
      </c>
      <c r="S592" s="10">
        <f>SUM(S589:S591)</f>
        <v>49392</v>
      </c>
      <c r="T592" s="12"/>
    </row>
    <row r="593" spans="1:20" ht="12.75">
      <c r="A593" s="3" t="s">
        <v>78</v>
      </c>
      <c r="B593" s="2" t="s">
        <v>189</v>
      </c>
      <c r="C593" s="3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12"/>
    </row>
    <row r="594" spans="1:20" ht="12.75">
      <c r="A594" s="7"/>
      <c r="B594" s="31" t="s">
        <v>521</v>
      </c>
      <c r="C594" s="33">
        <v>1</v>
      </c>
      <c r="D594" s="7">
        <v>7</v>
      </c>
      <c r="E594" s="7">
        <v>1312</v>
      </c>
      <c r="F594" s="7">
        <f>E594*C594</f>
        <v>1312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4">
        <f>E594*C594+SUM(G594:O594)</f>
        <v>1312</v>
      </c>
      <c r="R594" s="7"/>
      <c r="S594" s="4">
        <f>Q594*$R$17</f>
        <v>15744</v>
      </c>
      <c r="T594" s="12"/>
    </row>
    <row r="595" spans="1:20" ht="36" customHeight="1">
      <c r="A595" s="7"/>
      <c r="B595" s="31" t="s">
        <v>520</v>
      </c>
      <c r="C595" s="3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4"/>
      <c r="R595" s="7"/>
      <c r="S595" s="4"/>
      <c r="T595" s="12"/>
    </row>
    <row r="596" spans="1:20" ht="12.75">
      <c r="A596" s="7"/>
      <c r="B596" s="121" t="s">
        <v>214</v>
      </c>
      <c r="C596" s="33">
        <v>1</v>
      </c>
      <c r="D596" s="7">
        <v>2</v>
      </c>
      <c r="E596" s="7">
        <v>1223</v>
      </c>
      <c r="F596" s="7">
        <f>E596*C596</f>
        <v>1223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4">
        <f>E596*C596+SUM(G596:O596)</f>
        <v>1223</v>
      </c>
      <c r="R596" s="7"/>
      <c r="S596" s="4">
        <f>Q596*$R$17</f>
        <v>14676</v>
      </c>
      <c r="T596" s="12"/>
    </row>
    <row r="597" spans="1:20" ht="12.75">
      <c r="A597" s="7"/>
      <c r="B597" s="31" t="s">
        <v>141</v>
      </c>
      <c r="C597" s="33">
        <v>1</v>
      </c>
      <c r="D597" s="7">
        <v>1</v>
      </c>
      <c r="E597" s="7">
        <v>1218</v>
      </c>
      <c r="F597" s="7">
        <f>E597*C597</f>
        <v>1218</v>
      </c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4">
        <f>E597*C597+SUM(G597:O597)</f>
        <v>1218</v>
      </c>
      <c r="R597" s="7"/>
      <c r="S597" s="4">
        <f>Q597*$R$17</f>
        <v>14616</v>
      </c>
      <c r="T597" s="12"/>
    </row>
    <row r="598" spans="1:20" ht="12.75">
      <c r="A598" s="8"/>
      <c r="B598" s="31" t="s">
        <v>142</v>
      </c>
      <c r="C598" s="33">
        <v>1</v>
      </c>
      <c r="D598" s="7">
        <v>1</v>
      </c>
      <c r="E598" s="7">
        <v>1218</v>
      </c>
      <c r="F598" s="7">
        <f>E598*C598</f>
        <v>1218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4">
        <f>E598*C598+SUM(G598:O598)</f>
        <v>1218</v>
      </c>
      <c r="R598" s="7"/>
      <c r="S598" s="4">
        <f>Q598*$R$17</f>
        <v>14616</v>
      </c>
      <c r="T598" s="12"/>
    </row>
    <row r="599" spans="1:20" ht="12.75">
      <c r="A599" s="10"/>
      <c r="B599" s="26" t="s">
        <v>40</v>
      </c>
      <c r="C599" s="67">
        <f>SUM(C594:C598)</f>
        <v>4</v>
      </c>
      <c r="D599" s="10"/>
      <c r="E599" s="10"/>
      <c r="F599" s="10">
        <f>SUM(F594:F598)</f>
        <v>4971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>
        <f>SUM(Q594:Q598)</f>
        <v>4971</v>
      </c>
      <c r="R599" s="10">
        <f>SUM(R594:R598)</f>
        <v>0</v>
      </c>
      <c r="S599" s="10">
        <f>SUM(S594:S598)</f>
        <v>59652</v>
      </c>
      <c r="T599" s="12"/>
    </row>
    <row r="600" spans="1:20" ht="75.75" customHeight="1">
      <c r="A600" s="3" t="s">
        <v>79</v>
      </c>
      <c r="B600" s="49" t="s">
        <v>433</v>
      </c>
      <c r="C600" s="2"/>
      <c r="D600" s="2"/>
      <c r="E600" s="5"/>
      <c r="F600" s="7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5"/>
      <c r="T600" s="12"/>
    </row>
    <row r="601" spans="1:20" ht="12.75" customHeight="1">
      <c r="A601" s="8"/>
      <c r="B601" s="27" t="s">
        <v>223</v>
      </c>
      <c r="C601" s="8">
        <v>1</v>
      </c>
      <c r="D601" s="8">
        <v>7</v>
      </c>
      <c r="E601" s="9">
        <v>1312</v>
      </c>
      <c r="F601" s="71">
        <f>E601*C601</f>
        <v>1312</v>
      </c>
      <c r="G601" s="8"/>
      <c r="H601" s="8"/>
      <c r="I601" s="8"/>
      <c r="J601" s="8"/>
      <c r="K601" s="8"/>
      <c r="L601" s="8"/>
      <c r="M601" s="8"/>
      <c r="N601" s="8"/>
      <c r="O601" s="8"/>
      <c r="P601" s="7"/>
      <c r="Q601" s="4">
        <f>E601*C601+SUM(G601:O601)</f>
        <v>1312</v>
      </c>
      <c r="R601" s="7"/>
      <c r="S601" s="4">
        <f>Q601*$R$17</f>
        <v>15744</v>
      </c>
      <c r="T601" s="12"/>
    </row>
    <row r="602" spans="1:20" ht="12.75" customHeight="1">
      <c r="A602" s="10"/>
      <c r="B602" s="26" t="s">
        <v>40</v>
      </c>
      <c r="C602" s="10">
        <f>SUM(C601:C601)</f>
        <v>1</v>
      </c>
      <c r="D602" s="10"/>
      <c r="E602" s="11"/>
      <c r="F602" s="72">
        <f>SUM(F601:F601)</f>
        <v>1312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1">
        <f>SUM(Q601:Q601)</f>
        <v>1312</v>
      </c>
      <c r="R602" s="11">
        <f>SUM(R601:R601)</f>
        <v>0</v>
      </c>
      <c r="S602" s="11">
        <f>SUM(S601:S601)</f>
        <v>15744</v>
      </c>
      <c r="T602" s="12"/>
    </row>
    <row r="603" spans="1:20" ht="12.75" customHeight="1">
      <c r="A603" s="3" t="s">
        <v>81</v>
      </c>
      <c r="B603" s="2" t="s">
        <v>131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12"/>
    </row>
    <row r="604" spans="1:20" ht="12.75" customHeight="1">
      <c r="A604" s="7"/>
      <c r="B604" s="31" t="s">
        <v>287</v>
      </c>
      <c r="C604" s="7">
        <v>0.5</v>
      </c>
      <c r="D604" s="7">
        <v>4</v>
      </c>
      <c r="E604" s="7">
        <v>1243</v>
      </c>
      <c r="F604" s="44">
        <f>E604*C604</f>
        <v>621.5</v>
      </c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4">
        <f>E604*C604+SUM(G604:O604)</f>
        <v>621.5</v>
      </c>
      <c r="R604" s="7"/>
      <c r="S604" s="4">
        <f>Q604*$R$17</f>
        <v>7458</v>
      </c>
      <c r="T604" s="12"/>
    </row>
    <row r="605" spans="1:20" ht="12.75" customHeight="1">
      <c r="A605" s="7"/>
      <c r="B605" s="31" t="s">
        <v>288</v>
      </c>
      <c r="C605" s="7">
        <v>2.5</v>
      </c>
      <c r="D605" s="7">
        <v>1</v>
      </c>
      <c r="E605" s="7">
        <v>1218</v>
      </c>
      <c r="F605" s="7">
        <f>E605*C605</f>
        <v>3045</v>
      </c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4">
        <f>E605*C605+SUM(G605:O605)</f>
        <v>3045</v>
      </c>
      <c r="R605" s="7"/>
      <c r="S605" s="4">
        <f>Q605*$R$17</f>
        <v>36540</v>
      </c>
      <c r="T605" s="12"/>
    </row>
    <row r="606" spans="1:20" ht="12.75" customHeight="1">
      <c r="A606" s="7"/>
      <c r="B606" s="31" t="s">
        <v>144</v>
      </c>
      <c r="C606" s="7">
        <v>0.5</v>
      </c>
      <c r="D606" s="7">
        <v>6</v>
      </c>
      <c r="E606" s="7">
        <v>1263</v>
      </c>
      <c r="F606" s="4">
        <f>E606*C606</f>
        <v>631.5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4">
        <f>E606*C606+SUM(G606:O606)</f>
        <v>631.5</v>
      </c>
      <c r="R606" s="7"/>
      <c r="S606" s="4">
        <f>Q606*$R$17</f>
        <v>7578</v>
      </c>
      <c r="T606" s="12"/>
    </row>
    <row r="607" spans="1:20" ht="12.75" customHeight="1">
      <c r="A607" s="7"/>
      <c r="B607" s="41" t="s">
        <v>145</v>
      </c>
      <c r="C607" s="42">
        <v>9</v>
      </c>
      <c r="D607" s="42">
        <v>2</v>
      </c>
      <c r="E607" s="42">
        <v>1223</v>
      </c>
      <c r="F607" s="7">
        <f>E607*C607</f>
        <v>11007</v>
      </c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4">
        <f>E607*C607+SUM(G607:O607)</f>
        <v>11007</v>
      </c>
      <c r="R607" s="42"/>
      <c r="S607" s="43">
        <f>Q607*$R$17</f>
        <v>132084</v>
      </c>
      <c r="T607" s="12"/>
    </row>
    <row r="608" spans="1:20" ht="38.25" customHeight="1">
      <c r="A608" s="7"/>
      <c r="B608" s="31" t="s">
        <v>522</v>
      </c>
      <c r="C608" s="31"/>
      <c r="D608" s="45"/>
      <c r="E608" s="45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4"/>
      <c r="R608" s="42"/>
      <c r="S608" s="43"/>
      <c r="T608" s="12"/>
    </row>
    <row r="609" spans="1:20" ht="12.75" customHeight="1">
      <c r="A609" s="7"/>
      <c r="B609" s="31" t="s">
        <v>212</v>
      </c>
      <c r="C609" s="7">
        <v>1</v>
      </c>
      <c r="D609" s="7">
        <v>2</v>
      </c>
      <c r="E609" s="7">
        <v>1223</v>
      </c>
      <c r="F609" s="7">
        <f aca="true" t="shared" si="66" ref="F609:F615">E609*C609</f>
        <v>1223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4">
        <f aca="true" t="shared" si="67" ref="Q609:Q615">E609*C609+SUM(G609:O609)</f>
        <v>1223</v>
      </c>
      <c r="R609" s="7"/>
      <c r="S609" s="4">
        <f aca="true" t="shared" si="68" ref="S609:S615">Q609*$R$17</f>
        <v>14676</v>
      </c>
      <c r="T609" s="12"/>
    </row>
    <row r="610" spans="1:20" ht="12.75" customHeight="1">
      <c r="A610" s="7"/>
      <c r="B610" s="121" t="s">
        <v>216</v>
      </c>
      <c r="C610" s="42">
        <v>1</v>
      </c>
      <c r="D610" s="42">
        <v>2</v>
      </c>
      <c r="E610" s="7">
        <v>1223</v>
      </c>
      <c r="F610" s="7">
        <f t="shared" si="66"/>
        <v>1223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4">
        <f t="shared" si="67"/>
        <v>1223</v>
      </c>
      <c r="R610" s="42"/>
      <c r="S610" s="4">
        <f t="shared" si="68"/>
        <v>14676</v>
      </c>
      <c r="T610" s="12"/>
    </row>
    <row r="611" spans="1:20" ht="12.75" customHeight="1">
      <c r="A611" s="7"/>
      <c r="B611" s="31" t="s">
        <v>289</v>
      </c>
      <c r="C611" s="7">
        <v>15</v>
      </c>
      <c r="D611" s="7">
        <v>1</v>
      </c>
      <c r="E611" s="7">
        <v>1218</v>
      </c>
      <c r="F611" s="7">
        <f t="shared" si="66"/>
        <v>18270</v>
      </c>
      <c r="G611" s="7"/>
      <c r="H611" s="7"/>
      <c r="I611" s="7"/>
      <c r="J611" s="7"/>
      <c r="K611" s="7"/>
      <c r="L611" s="7"/>
      <c r="M611" s="7"/>
      <c r="N611" s="7"/>
      <c r="O611" s="7">
        <f>F611*0.1</f>
        <v>1827</v>
      </c>
      <c r="P611" s="4">
        <f>SUM(G611:O611)</f>
        <v>1827</v>
      </c>
      <c r="Q611" s="4">
        <f t="shared" si="67"/>
        <v>20097</v>
      </c>
      <c r="R611" s="7"/>
      <c r="S611" s="4">
        <f t="shared" si="68"/>
        <v>241164</v>
      </c>
      <c r="T611" s="12"/>
    </row>
    <row r="612" spans="1:20" ht="12.75" customHeight="1">
      <c r="A612" s="7"/>
      <c r="B612" s="31" t="s">
        <v>290</v>
      </c>
      <c r="C612" s="7">
        <v>2</v>
      </c>
      <c r="D612" s="7">
        <v>1</v>
      </c>
      <c r="E612" s="7">
        <v>1218</v>
      </c>
      <c r="F612" s="7">
        <f t="shared" si="66"/>
        <v>2436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4">
        <f t="shared" si="67"/>
        <v>2436</v>
      </c>
      <c r="R612" s="7"/>
      <c r="S612" s="4">
        <f t="shared" si="68"/>
        <v>29232</v>
      </c>
      <c r="T612" s="12"/>
    </row>
    <row r="613" spans="1:20" ht="12.75" customHeight="1">
      <c r="A613" s="7"/>
      <c r="B613" s="31" t="s">
        <v>291</v>
      </c>
      <c r="C613" s="7">
        <v>1</v>
      </c>
      <c r="D613" s="7">
        <v>1</v>
      </c>
      <c r="E613" s="7">
        <v>1218</v>
      </c>
      <c r="F613" s="7">
        <f t="shared" si="66"/>
        <v>1218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4">
        <f t="shared" si="67"/>
        <v>1218</v>
      </c>
      <c r="R613" s="7"/>
      <c r="S613" s="4">
        <f t="shared" si="68"/>
        <v>14616</v>
      </c>
      <c r="T613" s="12"/>
    </row>
    <row r="614" spans="1:20" ht="12.75" customHeight="1">
      <c r="A614" s="7"/>
      <c r="B614" s="31" t="s">
        <v>261</v>
      </c>
      <c r="C614" s="7">
        <v>4.5</v>
      </c>
      <c r="D614" s="7">
        <v>1</v>
      </c>
      <c r="E614" s="7">
        <v>1218</v>
      </c>
      <c r="F614" s="7">
        <f t="shared" si="66"/>
        <v>5481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4">
        <f t="shared" si="67"/>
        <v>5481</v>
      </c>
      <c r="R614" s="7"/>
      <c r="S614" s="4">
        <f t="shared" si="68"/>
        <v>65772</v>
      </c>
      <c r="T614" s="12"/>
    </row>
    <row r="615" spans="1:20" ht="12.75" customHeight="1">
      <c r="A615" s="7"/>
      <c r="B615" s="27" t="s">
        <v>292</v>
      </c>
      <c r="C615" s="8">
        <f>14-1.5</f>
        <v>12.5</v>
      </c>
      <c r="D615" s="7">
        <v>1</v>
      </c>
      <c r="E615" s="7">
        <v>1218</v>
      </c>
      <c r="F615" s="7">
        <f t="shared" si="66"/>
        <v>15225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4">
        <f t="shared" si="67"/>
        <v>15225</v>
      </c>
      <c r="R615" s="7"/>
      <c r="S615" s="4">
        <f t="shared" si="68"/>
        <v>182700</v>
      </c>
      <c r="T615" s="12"/>
    </row>
    <row r="616" spans="1:20" ht="12.75" customHeight="1">
      <c r="A616" s="10"/>
      <c r="B616" s="26" t="s">
        <v>40</v>
      </c>
      <c r="C616" s="10">
        <f>SUM(C604:C615)</f>
        <v>49.5</v>
      </c>
      <c r="D616" s="10"/>
      <c r="E616" s="10"/>
      <c r="F616" s="10">
        <f>SUM(F604:F615)</f>
        <v>60381</v>
      </c>
      <c r="G616" s="10"/>
      <c r="H616" s="10"/>
      <c r="I616" s="10"/>
      <c r="J616" s="10"/>
      <c r="K616" s="10"/>
      <c r="L616" s="10"/>
      <c r="M616" s="10"/>
      <c r="N616" s="10"/>
      <c r="O616" s="10">
        <f>SUM(O604:O615)</f>
        <v>1827</v>
      </c>
      <c r="P616" s="10">
        <f>SUM(P604:P615)</f>
        <v>1827</v>
      </c>
      <c r="Q616" s="10">
        <f>SUM(Q604:Q615)</f>
        <v>62208</v>
      </c>
      <c r="R616" s="10">
        <f>SUM(R604:R615)</f>
        <v>0</v>
      </c>
      <c r="S616" s="10">
        <f>SUM(S604:S615)</f>
        <v>746496</v>
      </c>
      <c r="T616" s="12"/>
    </row>
    <row r="617" spans="1:20" ht="12.75" customHeight="1">
      <c r="A617" s="3" t="s">
        <v>82</v>
      </c>
      <c r="B617" s="2" t="s">
        <v>157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12"/>
    </row>
    <row r="618" spans="1:20" ht="36" customHeight="1">
      <c r="A618" s="7"/>
      <c r="B618" s="31" t="s">
        <v>434</v>
      </c>
      <c r="C618" s="31"/>
      <c r="D618" s="3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12"/>
    </row>
    <row r="619" spans="1:20" ht="12.75" customHeight="1">
      <c r="A619" s="7"/>
      <c r="B619" s="121" t="s">
        <v>215</v>
      </c>
      <c r="C619" s="7">
        <v>1</v>
      </c>
      <c r="D619" s="7">
        <v>2</v>
      </c>
      <c r="E619" s="7">
        <v>1223</v>
      </c>
      <c r="F619" s="7">
        <f>E619*C619</f>
        <v>1223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4">
        <f>E619*C619+SUM(G619:O619)</f>
        <v>1223</v>
      </c>
      <c r="R619" s="7"/>
      <c r="S619" s="4">
        <f>Q619*$R$17</f>
        <v>14676</v>
      </c>
      <c r="T619" s="12"/>
    </row>
    <row r="620" spans="1:20" ht="12.75" customHeight="1">
      <c r="A620" s="7"/>
      <c r="B620" s="31" t="s">
        <v>140</v>
      </c>
      <c r="C620" s="7">
        <v>2</v>
      </c>
      <c r="D620" s="7">
        <v>1</v>
      </c>
      <c r="E620" s="7">
        <v>1218</v>
      </c>
      <c r="F620" s="7">
        <f>E620*C620</f>
        <v>2436</v>
      </c>
      <c r="G620" s="7"/>
      <c r="H620" s="7"/>
      <c r="I620" s="7"/>
      <c r="J620" s="7"/>
      <c r="K620" s="7"/>
      <c r="L620" s="7"/>
      <c r="M620" s="7"/>
      <c r="N620" s="7"/>
      <c r="O620" s="7">
        <f>E620*C620*0.1</f>
        <v>243.60000000000002</v>
      </c>
      <c r="P620" s="4">
        <f>SUM(G620:O620)</f>
        <v>243.60000000000002</v>
      </c>
      <c r="Q620" s="4">
        <f>E620*C620+SUM(G620:O620)</f>
        <v>2679.6</v>
      </c>
      <c r="R620" s="7"/>
      <c r="S620" s="4">
        <f>Q620*$R$17</f>
        <v>32155.199999999997</v>
      </c>
      <c r="T620" s="12"/>
    </row>
    <row r="621" spans="1:20" ht="12.75" customHeight="1">
      <c r="A621" s="10"/>
      <c r="B621" s="26" t="s">
        <v>40</v>
      </c>
      <c r="C621" s="10">
        <f>SUM(C619:C620)</f>
        <v>3</v>
      </c>
      <c r="D621" s="10"/>
      <c r="E621" s="10"/>
      <c r="F621" s="10">
        <f>SUM(F619:F620)</f>
        <v>3659</v>
      </c>
      <c r="G621" s="10"/>
      <c r="H621" s="10"/>
      <c r="I621" s="10"/>
      <c r="J621" s="10"/>
      <c r="K621" s="10"/>
      <c r="L621" s="10"/>
      <c r="M621" s="10"/>
      <c r="N621" s="10"/>
      <c r="O621" s="10">
        <f>SUM(O619:O620)</f>
        <v>243.60000000000002</v>
      </c>
      <c r="P621" s="10">
        <f>SUM(P619:P620)</f>
        <v>243.60000000000002</v>
      </c>
      <c r="Q621" s="10">
        <f>SUM(Q619:Q620)</f>
        <v>3902.6</v>
      </c>
      <c r="R621" s="10">
        <f>SUM(R619:R620)</f>
        <v>0</v>
      </c>
      <c r="S621" s="10">
        <f>SUM(S619:S620)</f>
        <v>46831.2</v>
      </c>
      <c r="T621" s="12"/>
    </row>
    <row r="622" spans="1:20" ht="12.75" customHeight="1">
      <c r="A622" s="3" t="s">
        <v>84</v>
      </c>
      <c r="B622" s="2" t="s">
        <v>146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12"/>
    </row>
    <row r="623" spans="1:20" ht="12.75" customHeight="1">
      <c r="A623" s="7"/>
      <c r="B623" s="31" t="s">
        <v>109</v>
      </c>
      <c r="C623" s="7">
        <v>1</v>
      </c>
      <c r="D623" s="7">
        <v>5</v>
      </c>
      <c r="E623" s="7">
        <v>1253</v>
      </c>
      <c r="F623" s="7">
        <f aca="true" t="shared" si="69" ref="F623:F635">E623*C623</f>
        <v>1253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4">
        <f aca="true" t="shared" si="70" ref="Q623:Q635">E623*C623+SUM(G623:O623)</f>
        <v>1253</v>
      </c>
      <c r="R623" s="7"/>
      <c r="S623" s="4">
        <f aca="true" t="shared" si="71" ref="S623:S635">Q623*$R$17</f>
        <v>15036</v>
      </c>
      <c r="T623" s="12"/>
    </row>
    <row r="624" spans="1:20" ht="12.75" customHeight="1">
      <c r="A624" s="7"/>
      <c r="B624" s="31" t="s">
        <v>147</v>
      </c>
      <c r="C624" s="7">
        <v>1</v>
      </c>
      <c r="D624" s="7">
        <v>1</v>
      </c>
      <c r="E624" s="7">
        <v>1218</v>
      </c>
      <c r="F624" s="7">
        <f t="shared" si="69"/>
        <v>1218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4">
        <f t="shared" si="70"/>
        <v>1218</v>
      </c>
      <c r="R624" s="7"/>
      <c r="S624" s="4">
        <f t="shared" si="71"/>
        <v>14616</v>
      </c>
      <c r="T624" s="12"/>
    </row>
    <row r="625" spans="1:20" ht="12.75" customHeight="1">
      <c r="A625" s="7"/>
      <c r="B625" s="31" t="s">
        <v>141</v>
      </c>
      <c r="C625" s="7">
        <v>0.5</v>
      </c>
      <c r="D625" s="7">
        <v>1</v>
      </c>
      <c r="E625" s="7">
        <v>1218</v>
      </c>
      <c r="F625" s="44">
        <f t="shared" si="69"/>
        <v>609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44">
        <f t="shared" si="70"/>
        <v>609</v>
      </c>
      <c r="R625" s="44"/>
      <c r="S625" s="44">
        <f t="shared" si="71"/>
        <v>7308</v>
      </c>
      <c r="T625" s="12"/>
    </row>
    <row r="626" spans="1:20" ht="12.75" customHeight="1">
      <c r="A626" s="7"/>
      <c r="B626" s="31" t="s">
        <v>148</v>
      </c>
      <c r="C626" s="7">
        <v>0.5</v>
      </c>
      <c r="D626" s="7">
        <v>3</v>
      </c>
      <c r="E626" s="7">
        <v>1233</v>
      </c>
      <c r="F626" s="7">
        <f t="shared" si="69"/>
        <v>616.5</v>
      </c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44">
        <f t="shared" si="70"/>
        <v>616.5</v>
      </c>
      <c r="R626" s="44"/>
      <c r="S626" s="44">
        <f t="shared" si="71"/>
        <v>7398</v>
      </c>
      <c r="T626" s="12"/>
    </row>
    <row r="627" spans="1:20" ht="12.75" customHeight="1">
      <c r="A627" s="7"/>
      <c r="B627" s="55" t="s">
        <v>437</v>
      </c>
      <c r="C627" s="7">
        <v>1</v>
      </c>
      <c r="D627" s="7">
        <v>2</v>
      </c>
      <c r="E627" s="7">
        <v>1223</v>
      </c>
      <c r="F627" s="7">
        <f t="shared" si="69"/>
        <v>1223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4">
        <f t="shared" si="70"/>
        <v>1223</v>
      </c>
      <c r="R627" s="7"/>
      <c r="S627" s="4">
        <f t="shared" si="71"/>
        <v>14676</v>
      </c>
      <c r="T627" s="12"/>
    </row>
    <row r="628" spans="1:20" ht="22.5" customHeight="1">
      <c r="A628" s="7"/>
      <c r="B628" s="55" t="s">
        <v>149</v>
      </c>
      <c r="C628" s="7">
        <v>1</v>
      </c>
      <c r="D628" s="7">
        <v>3</v>
      </c>
      <c r="E628" s="7">
        <v>1233</v>
      </c>
      <c r="F628" s="7">
        <f t="shared" si="69"/>
        <v>1233</v>
      </c>
      <c r="G628" s="7"/>
      <c r="H628" s="7"/>
      <c r="I628" s="7"/>
      <c r="J628" s="7"/>
      <c r="K628" s="7"/>
      <c r="L628" s="7"/>
      <c r="M628" s="7"/>
      <c r="N628" s="7"/>
      <c r="O628" s="4">
        <f>E628*C628*0.1</f>
        <v>123.30000000000001</v>
      </c>
      <c r="P628" s="4">
        <f>SUM(G628:O628)</f>
        <v>123.30000000000001</v>
      </c>
      <c r="Q628" s="4">
        <f t="shared" si="70"/>
        <v>1356.3</v>
      </c>
      <c r="R628" s="7"/>
      <c r="S628" s="4">
        <f t="shared" si="71"/>
        <v>16275.599999999999</v>
      </c>
      <c r="T628" s="12"/>
    </row>
    <row r="629" spans="1:20" ht="12" customHeight="1">
      <c r="A629" s="7"/>
      <c r="B629" s="31" t="s">
        <v>275</v>
      </c>
      <c r="C629" s="7">
        <v>1</v>
      </c>
      <c r="D629" s="7">
        <v>4</v>
      </c>
      <c r="E629" s="7">
        <v>1243</v>
      </c>
      <c r="F629" s="7">
        <f t="shared" si="69"/>
        <v>1243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4">
        <f t="shared" si="70"/>
        <v>1243</v>
      </c>
      <c r="R629" s="7"/>
      <c r="S629" s="4">
        <f t="shared" si="71"/>
        <v>14916</v>
      </c>
      <c r="T629" s="12"/>
    </row>
    <row r="630" spans="1:20" ht="21.75" customHeight="1">
      <c r="A630" s="7"/>
      <c r="B630" s="31" t="s">
        <v>276</v>
      </c>
      <c r="C630" s="7">
        <v>1</v>
      </c>
      <c r="D630" s="7">
        <v>3</v>
      </c>
      <c r="E630" s="7">
        <v>1233</v>
      </c>
      <c r="F630" s="7">
        <f t="shared" si="69"/>
        <v>1233</v>
      </c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4">
        <f t="shared" si="70"/>
        <v>1233</v>
      </c>
      <c r="R630" s="7"/>
      <c r="S630" s="4">
        <f t="shared" si="71"/>
        <v>14796</v>
      </c>
      <c r="T630" s="12"/>
    </row>
    <row r="631" spans="1:20" ht="21.75" customHeight="1">
      <c r="A631" s="7"/>
      <c r="B631" s="31" t="s">
        <v>414</v>
      </c>
      <c r="C631" s="7">
        <v>1</v>
      </c>
      <c r="D631" s="7">
        <v>3</v>
      </c>
      <c r="E631" s="7">
        <v>1233</v>
      </c>
      <c r="F631" s="7">
        <f t="shared" si="69"/>
        <v>1233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4">
        <f t="shared" si="70"/>
        <v>1233</v>
      </c>
      <c r="R631" s="7"/>
      <c r="S631" s="4">
        <f t="shared" si="71"/>
        <v>14796</v>
      </c>
      <c r="T631" s="12"/>
    </row>
    <row r="632" spans="1:20" ht="21.75" customHeight="1">
      <c r="A632" s="7"/>
      <c r="B632" s="31" t="s">
        <v>277</v>
      </c>
      <c r="C632" s="7">
        <v>1</v>
      </c>
      <c r="D632" s="7">
        <v>3</v>
      </c>
      <c r="E632" s="7">
        <v>1233</v>
      </c>
      <c r="F632" s="7">
        <f t="shared" si="69"/>
        <v>1233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4">
        <f t="shared" si="70"/>
        <v>1233</v>
      </c>
      <c r="R632" s="7"/>
      <c r="S632" s="4">
        <f t="shared" si="71"/>
        <v>14796</v>
      </c>
      <c r="T632" s="12"/>
    </row>
    <row r="633" spans="1:20" ht="21.75" customHeight="1">
      <c r="A633" s="7"/>
      <c r="B633" s="31" t="s">
        <v>278</v>
      </c>
      <c r="C633" s="7">
        <v>1</v>
      </c>
      <c r="D633" s="7">
        <v>3</v>
      </c>
      <c r="E633" s="7">
        <v>1233</v>
      </c>
      <c r="F633" s="7">
        <f t="shared" si="69"/>
        <v>1233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4">
        <f t="shared" si="70"/>
        <v>1233</v>
      </c>
      <c r="R633" s="7"/>
      <c r="S633" s="4">
        <f t="shared" si="71"/>
        <v>14796</v>
      </c>
      <c r="T633" s="12"/>
    </row>
    <row r="634" spans="1:20" ht="21.75" customHeight="1">
      <c r="A634" s="7"/>
      <c r="B634" s="31" t="s">
        <v>279</v>
      </c>
      <c r="C634" s="7">
        <v>1</v>
      </c>
      <c r="D634" s="7">
        <v>2</v>
      </c>
      <c r="E634" s="7">
        <v>1223</v>
      </c>
      <c r="F634" s="7">
        <f t="shared" si="69"/>
        <v>1223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4">
        <f t="shared" si="70"/>
        <v>1223</v>
      </c>
      <c r="R634" s="7"/>
      <c r="S634" s="4">
        <f t="shared" si="71"/>
        <v>14676</v>
      </c>
      <c r="T634" s="12"/>
    </row>
    <row r="635" spans="1:20" ht="21.75" customHeight="1">
      <c r="A635" s="8"/>
      <c r="B635" s="31" t="s">
        <v>280</v>
      </c>
      <c r="C635" s="7">
        <v>1</v>
      </c>
      <c r="D635" s="7">
        <v>3</v>
      </c>
      <c r="E635" s="7">
        <v>1233</v>
      </c>
      <c r="F635" s="7">
        <f t="shared" si="69"/>
        <v>1233</v>
      </c>
      <c r="G635" s="8"/>
      <c r="H635" s="8"/>
      <c r="I635" s="8"/>
      <c r="J635" s="8"/>
      <c r="K635" s="8"/>
      <c r="L635" s="8"/>
      <c r="M635" s="8"/>
      <c r="N635" s="8"/>
      <c r="O635" s="8"/>
      <c r="P635" s="7"/>
      <c r="Q635" s="4">
        <f t="shared" si="70"/>
        <v>1233</v>
      </c>
      <c r="R635" s="7"/>
      <c r="S635" s="4">
        <f t="shared" si="71"/>
        <v>14796</v>
      </c>
      <c r="T635" s="12"/>
    </row>
    <row r="636" spans="1:20" ht="12" customHeight="1">
      <c r="A636" s="10"/>
      <c r="B636" s="26" t="s">
        <v>40</v>
      </c>
      <c r="C636" s="10">
        <f>SUM(C623:C635)</f>
        <v>12</v>
      </c>
      <c r="D636" s="10"/>
      <c r="E636" s="10"/>
      <c r="F636" s="10">
        <f>SUM(F623:F635)</f>
        <v>14783.5</v>
      </c>
      <c r="G636" s="10"/>
      <c r="H636" s="10"/>
      <c r="I636" s="10"/>
      <c r="J636" s="10"/>
      <c r="K636" s="10"/>
      <c r="L636" s="10"/>
      <c r="M636" s="10"/>
      <c r="N636" s="10"/>
      <c r="O636" s="11">
        <f>SUM(O623:O635)</f>
        <v>123.30000000000001</v>
      </c>
      <c r="P636" s="11">
        <f>SUM(P623:P635)</f>
        <v>123.30000000000001</v>
      </c>
      <c r="Q636" s="11">
        <f>SUM(Q623:Q635)</f>
        <v>14906.8</v>
      </c>
      <c r="R636" s="11">
        <f>SUM(R623:R634)</f>
        <v>0</v>
      </c>
      <c r="S636" s="11">
        <f>SUM(S623:S635)</f>
        <v>178881.6</v>
      </c>
      <c r="T636" s="12"/>
    </row>
    <row r="637" spans="1:20" ht="12.75" customHeight="1">
      <c r="A637" s="3" t="s">
        <v>85</v>
      </c>
      <c r="B637" s="2" t="s">
        <v>158</v>
      </c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12"/>
    </row>
    <row r="638" spans="1:20" ht="12.75" customHeight="1">
      <c r="A638" s="8"/>
      <c r="B638" s="27" t="s">
        <v>159</v>
      </c>
      <c r="C638" s="8">
        <v>0.5</v>
      </c>
      <c r="D638" s="8">
        <v>2</v>
      </c>
      <c r="E638" s="8">
        <v>1223</v>
      </c>
      <c r="F638" s="7">
        <f>E638*C638</f>
        <v>611.5</v>
      </c>
      <c r="G638" s="8"/>
      <c r="H638" s="8"/>
      <c r="I638" s="8"/>
      <c r="J638" s="8"/>
      <c r="K638" s="8"/>
      <c r="L638" s="8"/>
      <c r="M638" s="8"/>
      <c r="N638" s="8"/>
      <c r="O638" s="8"/>
      <c r="P638" s="7"/>
      <c r="Q638" s="4">
        <f>E638*C638+SUM(G638:O638)</f>
        <v>611.5</v>
      </c>
      <c r="R638" s="7"/>
      <c r="S638" s="4">
        <f>Q638*$R$17</f>
        <v>7338</v>
      </c>
      <c r="T638" s="12"/>
    </row>
    <row r="639" spans="1:20" ht="12.75" customHeight="1">
      <c r="A639" s="10"/>
      <c r="B639" s="26" t="s">
        <v>40</v>
      </c>
      <c r="C639" s="10">
        <f>SUM(C638)</f>
        <v>0.5</v>
      </c>
      <c r="D639" s="10"/>
      <c r="E639" s="10"/>
      <c r="F639" s="10">
        <f>SUM(F638)</f>
        <v>611.5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>
        <f>SUM(Q638)</f>
        <v>611.5</v>
      </c>
      <c r="R639" s="10">
        <f>SUM(R638)</f>
        <v>0</v>
      </c>
      <c r="S639" s="10">
        <f>SUM(S638)</f>
        <v>7338</v>
      </c>
      <c r="T639" s="12"/>
    </row>
    <row r="640" spans="1:20" ht="12.75" customHeight="1">
      <c r="A640" s="3" t="s">
        <v>87</v>
      </c>
      <c r="B640" s="2" t="s">
        <v>220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12"/>
    </row>
    <row r="641" spans="1:20" ht="12.75" customHeight="1">
      <c r="A641" s="7"/>
      <c r="B641" s="31" t="s">
        <v>416</v>
      </c>
      <c r="C641" s="7">
        <v>0.5</v>
      </c>
      <c r="D641" s="7">
        <v>2</v>
      </c>
      <c r="E641" s="7">
        <v>1223</v>
      </c>
      <c r="F641" s="7">
        <f>E641*C641</f>
        <v>611.5</v>
      </c>
      <c r="G641" s="7"/>
      <c r="H641" s="7"/>
      <c r="I641" s="7"/>
      <c r="J641" s="7"/>
      <c r="K641" s="7"/>
      <c r="L641" s="7"/>
      <c r="M641" s="7"/>
      <c r="N641" s="4">
        <f>F641*0.0772</f>
        <v>47.207800000000006</v>
      </c>
      <c r="O641" s="7"/>
      <c r="P641" s="4">
        <f>SUM(G641:O641)</f>
        <v>47.207800000000006</v>
      </c>
      <c r="Q641" s="4">
        <f>E641*C641+SUM(G641:O641)</f>
        <v>658.7078</v>
      </c>
      <c r="R641" s="7"/>
      <c r="S641" s="4">
        <f>Q641*$R$17</f>
        <v>7904.4936</v>
      </c>
      <c r="T641" s="12"/>
    </row>
    <row r="642" spans="1:20" ht="12.75" customHeight="1">
      <c r="A642" s="8"/>
      <c r="B642" s="27" t="s">
        <v>415</v>
      </c>
      <c r="C642" s="7">
        <v>4</v>
      </c>
      <c r="D642" s="7">
        <v>1</v>
      </c>
      <c r="E642" s="7">
        <v>1218</v>
      </c>
      <c r="F642" s="7">
        <f>E642*C642</f>
        <v>4872</v>
      </c>
      <c r="G642" s="8"/>
      <c r="H642" s="8"/>
      <c r="I642" s="8"/>
      <c r="J642" s="8"/>
      <c r="K642" s="8"/>
      <c r="L642" s="8"/>
      <c r="M642" s="8"/>
      <c r="N642" s="7">
        <f>F642*0.0772</f>
        <v>376.1184</v>
      </c>
      <c r="O642" s="8"/>
      <c r="P642" s="4">
        <f>SUM(G642:O642)</f>
        <v>376.1184</v>
      </c>
      <c r="Q642" s="4">
        <f>E642*C642+SUM(G642:O642)</f>
        <v>5248.1184</v>
      </c>
      <c r="R642" s="7"/>
      <c r="S642" s="4">
        <f>Q642*$R$17</f>
        <v>62977.42080000001</v>
      </c>
      <c r="T642" s="12"/>
    </row>
    <row r="643" spans="1:20" ht="12.75" customHeight="1">
      <c r="A643" s="10"/>
      <c r="B643" s="26" t="s">
        <v>40</v>
      </c>
      <c r="C643" s="10">
        <f>SUM(C641:C642)</f>
        <v>4.5</v>
      </c>
      <c r="D643" s="10"/>
      <c r="E643" s="10"/>
      <c r="F643" s="10">
        <f>SUM(F641:F642)</f>
        <v>5483.5</v>
      </c>
      <c r="G643" s="10"/>
      <c r="H643" s="10"/>
      <c r="I643" s="10"/>
      <c r="J643" s="10"/>
      <c r="K643" s="10"/>
      <c r="L643" s="10"/>
      <c r="M643" s="11"/>
      <c r="N643" s="11">
        <f>SUM(N641:N642)</f>
        <v>423.32620000000003</v>
      </c>
      <c r="O643" s="11"/>
      <c r="P643" s="11">
        <f>SUM(P641:P642)</f>
        <v>423.32620000000003</v>
      </c>
      <c r="Q643" s="11">
        <f>SUM(Q641:Q642)</f>
        <v>5906.8262</v>
      </c>
      <c r="R643" s="11">
        <f>SUM(R641:R642)</f>
        <v>0</v>
      </c>
      <c r="S643" s="11">
        <f>SUM(S641:S642)</f>
        <v>70881.91440000001</v>
      </c>
      <c r="T643" s="12"/>
    </row>
    <row r="644" spans="1:20" ht="12" customHeight="1">
      <c r="A644" s="3" t="s">
        <v>88</v>
      </c>
      <c r="B644" s="2" t="s">
        <v>125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5"/>
      <c r="R644" s="3"/>
      <c r="S644" s="5"/>
      <c r="T644" s="12"/>
    </row>
    <row r="645" spans="1:20" ht="12" customHeight="1">
      <c r="A645" s="7"/>
      <c r="B645" s="31" t="s">
        <v>143</v>
      </c>
      <c r="C645" s="7">
        <f>2+16</f>
        <v>18</v>
      </c>
      <c r="D645" s="7">
        <v>1</v>
      </c>
      <c r="E645" s="7">
        <v>1218</v>
      </c>
      <c r="F645" s="7">
        <f>E645*C645</f>
        <v>21924</v>
      </c>
      <c r="G645" s="7"/>
      <c r="H645" s="7"/>
      <c r="I645" s="7"/>
      <c r="J645" s="7"/>
      <c r="K645" s="7"/>
      <c r="L645" s="7"/>
      <c r="M645" s="7"/>
      <c r="N645" s="7"/>
      <c r="O645" s="7"/>
      <c r="P645" s="4"/>
      <c r="Q645" s="4">
        <f>E645*C645+SUM(G645:O645)</f>
        <v>21924</v>
      </c>
      <c r="R645" s="7"/>
      <c r="S645" s="4">
        <f>Q645*$R$17</f>
        <v>263088</v>
      </c>
      <c r="T645" s="12"/>
    </row>
    <row r="646" spans="1:20" ht="12" customHeight="1">
      <c r="A646" s="8"/>
      <c r="B646" s="31" t="s">
        <v>340</v>
      </c>
      <c r="C646" s="7">
        <v>5</v>
      </c>
      <c r="D646" s="7">
        <v>1</v>
      </c>
      <c r="E646" s="7">
        <v>1218</v>
      </c>
      <c r="F646" s="7">
        <f>E646*C646</f>
        <v>6090</v>
      </c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4">
        <f>E646*C646+SUM(G646:O646)</f>
        <v>6090</v>
      </c>
      <c r="R646" s="7"/>
      <c r="S646" s="4">
        <f>Q646*$R$17</f>
        <v>73080</v>
      </c>
      <c r="T646" s="12"/>
    </row>
    <row r="647" spans="1:20" ht="12" customHeight="1">
      <c r="A647" s="10"/>
      <c r="B647" s="26" t="s">
        <v>40</v>
      </c>
      <c r="C647" s="10">
        <f>SUM(C644:C646)</f>
        <v>23</v>
      </c>
      <c r="D647" s="10"/>
      <c r="E647" s="10"/>
      <c r="F647" s="10">
        <f>SUM(F644:F646)</f>
        <v>28014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>
        <f>SUM(Q644:Q646)</f>
        <v>28014</v>
      </c>
      <c r="R647" s="10">
        <f>SUM(R644:R646)</f>
        <v>0</v>
      </c>
      <c r="S647" s="10">
        <f>SUM(S644:S646)</f>
        <v>336168</v>
      </c>
      <c r="T647" s="12"/>
    </row>
    <row r="648" spans="1:20" ht="22.5" customHeight="1">
      <c r="A648" s="10"/>
      <c r="B648" s="28" t="s">
        <v>196</v>
      </c>
      <c r="C648" s="3"/>
      <c r="D648" s="3"/>
      <c r="E648" s="3"/>
      <c r="F648" s="3"/>
      <c r="G648" s="5">
        <v>40000</v>
      </c>
      <c r="H648" s="3"/>
      <c r="I648" s="3"/>
      <c r="J648" s="3"/>
      <c r="K648" s="3"/>
      <c r="L648" s="3"/>
      <c r="M648" s="3"/>
      <c r="N648" s="3"/>
      <c r="O648" s="3"/>
      <c r="P648" s="5">
        <f>G648</f>
        <v>40000</v>
      </c>
      <c r="Q648" s="5">
        <f>G648</f>
        <v>40000</v>
      </c>
      <c r="R648" s="4"/>
      <c r="S648" s="4">
        <f>Q648*$R$17</f>
        <v>480000</v>
      </c>
      <c r="T648" s="12"/>
    </row>
    <row r="649" spans="1:20" ht="12" customHeight="1">
      <c r="A649" s="10"/>
      <c r="B649" s="26" t="s">
        <v>199</v>
      </c>
      <c r="C649" s="22">
        <f>C490+C493+C496+C499+C502+C505+C508+C511+C514+C517+C520+C523+C526+C532+C538+C550+C555+C560+C565+C569+C572+C580+C587+C592++C599+C602+C616+C621+C636+C639+C643+C647+C648</f>
        <v>182.5</v>
      </c>
      <c r="D649" s="22"/>
      <c r="E649" s="22"/>
      <c r="F649" s="11">
        <f>F490+F493+F496+F499+F502+F505+F508+F511+F514+F517+F520+F523+F526+F532+F538+F550+F555+F560+F565+F569+F572+F580+F587+F592++F599+F602+F616+F621+F636+F639+F643+F647+F648</f>
        <v>233866</v>
      </c>
      <c r="G649" s="11">
        <f>G490+G493+G496+G499+G502+G505+G508+G511+G514+G517+G520+G523+G526+G532+G538+G550+G555+G560+G565+G569+G572+G580+G587+G592++G599+G602+G616+G621+G636+G639+G643+G647+G648</f>
        <v>46011.5</v>
      </c>
      <c r="H649" s="11"/>
      <c r="I649" s="11">
        <f>I490+I493+I496+I499+I502+I505+I508+I511+I514+I517+I520+I523+I526+I532+I538+I550+I555+I560+I565+I569+I572+I580+I587+I592++I599+I602+I616+I621+I636+I639+I643+I647+I648</f>
        <v>1838.1000000000001</v>
      </c>
      <c r="J649" s="11"/>
      <c r="K649" s="11"/>
      <c r="L649" s="11"/>
      <c r="M649" s="11"/>
      <c r="N649" s="11">
        <f aca="true" t="shared" si="72" ref="N649:S649">N490+N493+N496+N499+N502+N505+N508+N511+N514+N517+N520+N523+N526+N532+N538+N550+N555+N560+N565+N569+N572+N580+N587+N592++N599+N602+N616+N621+N636+N639+N643+N647+N648</f>
        <v>423.32620000000003</v>
      </c>
      <c r="O649" s="11">
        <f t="shared" si="72"/>
        <v>2193.9</v>
      </c>
      <c r="P649" s="11">
        <f t="shared" si="72"/>
        <v>50466.8262</v>
      </c>
      <c r="Q649" s="11">
        <f t="shared" si="72"/>
        <v>284332.8262</v>
      </c>
      <c r="R649" s="11">
        <f t="shared" si="72"/>
        <v>0</v>
      </c>
      <c r="S649" s="11">
        <f t="shared" si="72"/>
        <v>3411993.9144000006</v>
      </c>
      <c r="T649" s="12"/>
    </row>
    <row r="650" spans="1:20" ht="12" customHeight="1">
      <c r="A650" s="10"/>
      <c r="B650" s="26" t="s">
        <v>160</v>
      </c>
      <c r="C650" s="11">
        <f>C486+C649</f>
        <v>400.5</v>
      </c>
      <c r="D650" s="11"/>
      <c r="E650" s="11"/>
      <c r="F650" s="11">
        <f aca="true" t="shared" si="73" ref="F650:K650">F486+F649</f>
        <v>796089</v>
      </c>
      <c r="G650" s="11">
        <f t="shared" si="73"/>
        <v>95575.75</v>
      </c>
      <c r="H650" s="11">
        <f t="shared" si="73"/>
        <v>3802.9875</v>
      </c>
      <c r="I650" s="11">
        <f t="shared" si="73"/>
        <v>76295.55000000002</v>
      </c>
      <c r="J650" s="11">
        <f t="shared" si="73"/>
        <v>33226.784999999996</v>
      </c>
      <c r="K650" s="11">
        <f t="shared" si="73"/>
        <v>42946.4825</v>
      </c>
      <c r="L650" s="11"/>
      <c r="M650" s="11">
        <f aca="true" t="shared" si="74" ref="M650:S650">M486+M649</f>
        <v>2407.7999999999997</v>
      </c>
      <c r="N650" s="11">
        <f t="shared" si="74"/>
        <v>423.32620000000003</v>
      </c>
      <c r="O650" s="11">
        <f t="shared" si="74"/>
        <v>2193.9</v>
      </c>
      <c r="P650" s="11">
        <f t="shared" si="74"/>
        <v>256872.58120000002</v>
      </c>
      <c r="Q650" s="11">
        <f t="shared" si="74"/>
        <v>1112961.5812</v>
      </c>
      <c r="R650" s="11">
        <f t="shared" si="74"/>
        <v>0</v>
      </c>
      <c r="S650" s="11">
        <f t="shared" si="74"/>
        <v>13235538.9744</v>
      </c>
      <c r="T650" s="12"/>
    </row>
    <row r="651" spans="1:20" ht="15" customHeight="1">
      <c r="A651" s="157" t="s">
        <v>161</v>
      </c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9"/>
      <c r="T651" s="12"/>
    </row>
    <row r="652" spans="1:20" ht="24.75" customHeight="1">
      <c r="A652" s="3">
        <v>1</v>
      </c>
      <c r="B652" s="2" t="s">
        <v>5</v>
      </c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4"/>
      <c r="N652" s="124"/>
      <c r="O652" s="122"/>
      <c r="P652" s="122"/>
      <c r="Q652" s="122"/>
      <c r="R652" s="122"/>
      <c r="S652" s="122"/>
      <c r="T652" s="12"/>
    </row>
    <row r="653" spans="1:20" ht="12.75" customHeight="1">
      <c r="A653" s="50"/>
      <c r="B653" s="31" t="s">
        <v>208</v>
      </c>
      <c r="C653" s="7">
        <v>1</v>
      </c>
      <c r="D653" s="7">
        <v>21</v>
      </c>
      <c r="E653" s="7">
        <v>3280</v>
      </c>
      <c r="F653" s="7">
        <f>E653*C653</f>
        <v>3280</v>
      </c>
      <c r="G653" s="4">
        <f>F653*0.3</f>
        <v>984</v>
      </c>
      <c r="H653" s="7"/>
      <c r="I653" s="4">
        <f>E653*C653*0.3</f>
        <v>984</v>
      </c>
      <c r="J653" s="4"/>
      <c r="K653" s="4">
        <f>E653*C653*0.25</f>
        <v>820</v>
      </c>
      <c r="L653" s="7"/>
      <c r="M653" s="7"/>
      <c r="N653" s="7"/>
      <c r="O653" s="7"/>
      <c r="P653" s="4">
        <f>SUM(G653:O653)</f>
        <v>2788</v>
      </c>
      <c r="Q653" s="4">
        <f>E653*C653+SUM(G653:O653)</f>
        <v>6068</v>
      </c>
      <c r="R653" s="4"/>
      <c r="S653" s="4">
        <f>Q653*$R$17</f>
        <v>72816</v>
      </c>
      <c r="T653" s="12"/>
    </row>
    <row r="654" spans="1:20" ht="12.75" customHeight="1">
      <c r="A654" s="10"/>
      <c r="B654" s="26" t="s">
        <v>40</v>
      </c>
      <c r="C654" s="10">
        <f>SUM(C653)</f>
        <v>1</v>
      </c>
      <c r="D654" s="10"/>
      <c r="E654" s="10"/>
      <c r="F654" s="10">
        <f>SUM(F653)</f>
        <v>3280</v>
      </c>
      <c r="G654" s="11">
        <f>SUM(G653)</f>
        <v>984</v>
      </c>
      <c r="H654" s="10"/>
      <c r="I654" s="11">
        <f>SUM(I653)</f>
        <v>984</v>
      </c>
      <c r="J654" s="11"/>
      <c r="K654" s="11">
        <f>SUM(K653)</f>
        <v>820</v>
      </c>
      <c r="L654" s="10"/>
      <c r="M654" s="10"/>
      <c r="N654" s="10"/>
      <c r="O654" s="10"/>
      <c r="P654" s="11">
        <f>SUM(P653)</f>
        <v>2788</v>
      </c>
      <c r="Q654" s="11">
        <f>SUM(Q653)</f>
        <v>6068</v>
      </c>
      <c r="R654" s="10">
        <f>SUM(R653)</f>
        <v>0</v>
      </c>
      <c r="S654" s="10">
        <f>SUM(S653)</f>
        <v>72816</v>
      </c>
      <c r="T654" s="12"/>
    </row>
    <row r="655" spans="1:20" ht="12.75" customHeight="1">
      <c r="A655" s="3">
        <v>2</v>
      </c>
      <c r="B655" s="58" t="s">
        <v>305</v>
      </c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12"/>
    </row>
    <row r="656" spans="1:20" ht="12.75" customHeight="1">
      <c r="A656" s="8"/>
      <c r="B656" s="27" t="s">
        <v>162</v>
      </c>
      <c r="C656" s="8">
        <v>1</v>
      </c>
      <c r="D656" s="8">
        <v>6</v>
      </c>
      <c r="E656" s="8">
        <v>1263</v>
      </c>
      <c r="F656" s="7">
        <f>E656*C656</f>
        <v>1263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4">
        <f>E656*C656+SUM(G656:O656)</f>
        <v>1263</v>
      </c>
      <c r="R656" s="7"/>
      <c r="S656" s="4">
        <f>Q656*$R$17</f>
        <v>15156</v>
      </c>
      <c r="T656" s="12"/>
    </row>
    <row r="657" spans="1:20" ht="12.75" customHeight="1">
      <c r="A657" s="10"/>
      <c r="B657" s="26" t="s">
        <v>40</v>
      </c>
      <c r="C657" s="10">
        <f>SUM(C656)</f>
        <v>1</v>
      </c>
      <c r="D657" s="10"/>
      <c r="E657" s="10"/>
      <c r="F657" s="10">
        <f>SUM(F656)</f>
        <v>1263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>
        <f>SUM(Q656)</f>
        <v>1263</v>
      </c>
      <c r="R657" s="10">
        <f>SUM(R656)</f>
        <v>0</v>
      </c>
      <c r="S657" s="10">
        <f>SUM(S656)</f>
        <v>15156</v>
      </c>
      <c r="T657" s="12"/>
    </row>
    <row r="658" spans="1:20" ht="12.75" customHeight="1">
      <c r="A658" s="139" t="s">
        <v>10</v>
      </c>
      <c r="B658" s="2" t="s">
        <v>451</v>
      </c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12"/>
    </row>
    <row r="659" spans="1:20" ht="12.75" customHeight="1">
      <c r="A659" s="140"/>
      <c r="B659" s="31" t="s">
        <v>452</v>
      </c>
      <c r="C659" s="7">
        <v>0.5</v>
      </c>
      <c r="D659" s="7">
        <v>7</v>
      </c>
      <c r="E659" s="7">
        <v>1312</v>
      </c>
      <c r="F659" s="7">
        <f>E659*C659</f>
        <v>656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4">
        <f>E659*C659+SUM(G659:O659)</f>
        <v>656</v>
      </c>
      <c r="R659" s="7"/>
      <c r="S659" s="4">
        <f>Q659*$R$17</f>
        <v>7872</v>
      </c>
      <c r="T659" s="12"/>
    </row>
    <row r="660" spans="1:20" ht="12.75" customHeight="1">
      <c r="A660" s="141"/>
      <c r="B660" s="26" t="s">
        <v>40</v>
      </c>
      <c r="C660" s="10">
        <f>SUM(C659:C659)</f>
        <v>0.5</v>
      </c>
      <c r="D660" s="10"/>
      <c r="E660" s="10"/>
      <c r="F660" s="10">
        <f>SUM(F659:F659)</f>
        <v>656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>
        <f>SUM(Q659)</f>
        <v>656</v>
      </c>
      <c r="R660" s="10">
        <f>SUM(R659)</f>
        <v>0</v>
      </c>
      <c r="S660" s="10">
        <f>SUM(S659)</f>
        <v>7872</v>
      </c>
      <c r="T660" s="12"/>
    </row>
    <row r="661" spans="1:20" ht="12.75" customHeight="1">
      <c r="A661" s="3" t="s">
        <v>13</v>
      </c>
      <c r="B661" s="2" t="s">
        <v>163</v>
      </c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12"/>
    </row>
    <row r="662" spans="1:20" ht="12.75" customHeight="1">
      <c r="A662" s="7"/>
      <c r="B662" s="31" t="s">
        <v>96</v>
      </c>
      <c r="C662" s="7">
        <v>1</v>
      </c>
      <c r="D662" s="7">
        <v>11</v>
      </c>
      <c r="E662" s="7">
        <v>1678</v>
      </c>
      <c r="F662" s="7">
        <f>E662*C662</f>
        <v>1678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4">
        <f>E662*C662+SUM(G662:O662)</f>
        <v>1678</v>
      </c>
      <c r="R662" s="7"/>
      <c r="S662" s="4">
        <f>Q662*$R$17</f>
        <v>20136</v>
      </c>
      <c r="T662" s="12"/>
    </row>
    <row r="663" spans="1:20" ht="12.75" customHeight="1">
      <c r="A663" s="7"/>
      <c r="B663" s="31" t="s">
        <v>164</v>
      </c>
      <c r="C663" s="7">
        <v>1</v>
      </c>
      <c r="D663" s="7">
        <v>5</v>
      </c>
      <c r="E663" s="7">
        <v>1253</v>
      </c>
      <c r="F663" s="7">
        <f>E663*C663</f>
        <v>1253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4">
        <f>E663*C663+SUM(G663:O663)</f>
        <v>1253</v>
      </c>
      <c r="R663" s="7"/>
      <c r="S663" s="4">
        <f>Q663*$R$17</f>
        <v>15036</v>
      </c>
      <c r="T663" s="12"/>
    </row>
    <row r="664" spans="1:20" ht="12.75" customHeight="1">
      <c r="A664" s="7"/>
      <c r="B664" s="31" t="s">
        <v>122</v>
      </c>
      <c r="C664" s="7">
        <v>1</v>
      </c>
      <c r="D664" s="7">
        <v>5</v>
      </c>
      <c r="E664" s="7">
        <v>1253</v>
      </c>
      <c r="F664" s="7">
        <f>E664*C664</f>
        <v>1253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4">
        <f>E664*C664+SUM(G664:O664)</f>
        <v>1253</v>
      </c>
      <c r="R664" s="7"/>
      <c r="S664" s="4">
        <f>Q664*$R$17</f>
        <v>15036</v>
      </c>
      <c r="T664" s="12"/>
    </row>
    <row r="665" spans="1:20" ht="12.75" customHeight="1">
      <c r="A665" s="8"/>
      <c r="B665" s="27" t="s">
        <v>117</v>
      </c>
      <c r="C665" s="8">
        <v>2.5</v>
      </c>
      <c r="D665" s="8">
        <v>4</v>
      </c>
      <c r="E665" s="8">
        <v>1243</v>
      </c>
      <c r="F665" s="7">
        <f>E665*C665</f>
        <v>3107.5</v>
      </c>
      <c r="G665" s="8"/>
      <c r="H665" s="8"/>
      <c r="I665" s="8"/>
      <c r="J665" s="8"/>
      <c r="K665" s="8"/>
      <c r="L665" s="8"/>
      <c r="M665" s="8"/>
      <c r="N665" s="8"/>
      <c r="O665" s="8"/>
      <c r="P665" s="7"/>
      <c r="Q665" s="4">
        <f>E665*C665+SUM(G665:O665)</f>
        <v>3107.5</v>
      </c>
      <c r="R665" s="8"/>
      <c r="S665" s="4">
        <f>Q665*$R$17</f>
        <v>37290</v>
      </c>
      <c r="T665" s="12"/>
    </row>
    <row r="666" spans="1:20" ht="12.75" customHeight="1">
      <c r="A666" s="10"/>
      <c r="B666" s="26" t="s">
        <v>40</v>
      </c>
      <c r="C666" s="10">
        <f>SUM(C662:C665)</f>
        <v>5.5</v>
      </c>
      <c r="D666" s="10"/>
      <c r="E666" s="10"/>
      <c r="F666" s="10">
        <f>SUM(F662:F665)</f>
        <v>7291.5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>
        <f>SUM(Q662:Q665)</f>
        <v>7291.5</v>
      </c>
      <c r="R666" s="10">
        <f>SUM(R662:R665)</f>
        <v>0</v>
      </c>
      <c r="S666" s="10">
        <f>SUM(S662:S665)</f>
        <v>87498</v>
      </c>
      <c r="T666" s="12"/>
    </row>
    <row r="667" spans="1:20" ht="24.75" customHeight="1">
      <c r="A667" s="3" t="s">
        <v>19</v>
      </c>
      <c r="B667" s="2" t="s">
        <v>177</v>
      </c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12"/>
    </row>
    <row r="668" spans="1:20" ht="12.75" customHeight="1">
      <c r="A668" s="7"/>
      <c r="B668" s="31" t="s">
        <v>165</v>
      </c>
      <c r="C668" s="7">
        <v>2</v>
      </c>
      <c r="D668" s="7">
        <v>5</v>
      </c>
      <c r="E668" s="7">
        <v>1253</v>
      </c>
      <c r="F668" s="7">
        <f>E668*C668</f>
        <v>2506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4">
        <f>E668*C668+SUM(G668:O668)</f>
        <v>2506</v>
      </c>
      <c r="R668" s="7"/>
      <c r="S668" s="4">
        <f>Q668*$R$17</f>
        <v>30072</v>
      </c>
      <c r="T668" s="12"/>
    </row>
    <row r="669" spans="1:20" ht="12.75" customHeight="1">
      <c r="A669" s="7"/>
      <c r="B669" s="27" t="s">
        <v>110</v>
      </c>
      <c r="C669" s="8">
        <v>1</v>
      </c>
      <c r="D669" s="8">
        <v>4</v>
      </c>
      <c r="E669" s="8">
        <v>1243</v>
      </c>
      <c r="F669" s="7">
        <f>E669*C669</f>
        <v>1243</v>
      </c>
      <c r="G669" s="8"/>
      <c r="H669" s="8"/>
      <c r="I669" s="8"/>
      <c r="J669" s="8"/>
      <c r="K669" s="8"/>
      <c r="L669" s="8"/>
      <c r="M669" s="8"/>
      <c r="N669" s="8"/>
      <c r="O669" s="8"/>
      <c r="P669" s="7"/>
      <c r="Q669" s="4">
        <f>E669*C669+SUM(G669:O669)</f>
        <v>1243</v>
      </c>
      <c r="R669" s="8"/>
      <c r="S669" s="4">
        <f>Q669*$R$17</f>
        <v>14916</v>
      </c>
      <c r="T669" s="12"/>
    </row>
    <row r="670" spans="1:20" ht="12.75" customHeight="1">
      <c r="A670" s="10"/>
      <c r="B670" s="26" t="s">
        <v>40</v>
      </c>
      <c r="C670" s="10">
        <f>SUM(C668:C669)</f>
        <v>3</v>
      </c>
      <c r="D670" s="10"/>
      <c r="E670" s="10">
        <f>SUM(E668:E669)</f>
        <v>2496</v>
      </c>
      <c r="F670" s="10">
        <f>SUM(F668:F669)</f>
        <v>3749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>
        <f>SUM(Q668:Q669)</f>
        <v>3749</v>
      </c>
      <c r="R670" s="10">
        <f>SUM(R668:R669)</f>
        <v>0</v>
      </c>
      <c r="S670" s="10">
        <f>SUM(S668:S669)</f>
        <v>44988</v>
      </c>
      <c r="T670" s="12"/>
    </row>
    <row r="671" spans="1:20" ht="24.75" customHeight="1">
      <c r="A671" s="3" t="s">
        <v>20</v>
      </c>
      <c r="B671" s="58" t="s">
        <v>523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12"/>
    </row>
    <row r="672" spans="1:20" ht="12.75" customHeight="1">
      <c r="A672" s="7"/>
      <c r="B672" s="31" t="s">
        <v>524</v>
      </c>
      <c r="C672" s="7">
        <v>1</v>
      </c>
      <c r="D672" s="7">
        <v>17</v>
      </c>
      <c r="E672" s="7">
        <v>2556</v>
      </c>
      <c r="F672" s="7">
        <f>E672*C672</f>
        <v>2556</v>
      </c>
      <c r="G672" s="7"/>
      <c r="H672" s="7"/>
      <c r="I672" s="4">
        <f>E672*C672*0.3</f>
        <v>766.8</v>
      </c>
      <c r="J672" s="4"/>
      <c r="K672" s="7"/>
      <c r="L672" s="4">
        <f>E672*C672*0.1</f>
        <v>255.60000000000002</v>
      </c>
      <c r="M672" s="7"/>
      <c r="N672" s="7"/>
      <c r="O672" s="4"/>
      <c r="P672" s="4">
        <f>SUM(G672:O672)</f>
        <v>1022.4</v>
      </c>
      <c r="Q672" s="4">
        <f>E672*C672+SUM(G672:O672)</f>
        <v>3578.4</v>
      </c>
      <c r="R672" s="4"/>
      <c r="S672" s="4">
        <f>Q672*$R$17</f>
        <v>42940.8</v>
      </c>
      <c r="T672" s="12"/>
    </row>
    <row r="673" spans="1:20" ht="12.75" customHeight="1">
      <c r="A673" s="7"/>
      <c r="B673" s="31" t="s">
        <v>209</v>
      </c>
      <c r="C673" s="7">
        <v>1</v>
      </c>
      <c r="D673" s="7">
        <v>19</v>
      </c>
      <c r="E673" s="7">
        <v>2914</v>
      </c>
      <c r="F673" s="7">
        <f>E673*C673</f>
        <v>2914</v>
      </c>
      <c r="G673" s="7"/>
      <c r="H673" s="7"/>
      <c r="I673" s="4">
        <f>E673*C673*0.3</f>
        <v>874.1999999999999</v>
      </c>
      <c r="J673" s="4"/>
      <c r="K673" s="4">
        <f>E673*C673*0.25</f>
        <v>728.5</v>
      </c>
      <c r="L673" s="7"/>
      <c r="M673" s="4">
        <f>F673*0.3</f>
        <v>874.1999999999999</v>
      </c>
      <c r="N673" s="7"/>
      <c r="O673" s="4"/>
      <c r="P673" s="4">
        <f>SUM(G673:O673)</f>
        <v>2476.8999999999996</v>
      </c>
      <c r="Q673" s="4">
        <f>E673*C673+SUM(G673:O673)</f>
        <v>5390.9</v>
      </c>
      <c r="R673" s="4"/>
      <c r="S673" s="4">
        <f>Q673*$R$17</f>
        <v>64690.799999999996</v>
      </c>
      <c r="T673" s="12"/>
    </row>
    <row r="674" spans="1:20" ht="12.75" customHeight="1">
      <c r="A674" s="8"/>
      <c r="B674" s="27" t="s">
        <v>207</v>
      </c>
      <c r="C674" s="8">
        <v>9</v>
      </c>
      <c r="D674" s="8">
        <v>17</v>
      </c>
      <c r="E674" s="8">
        <v>2556</v>
      </c>
      <c r="F674" s="7">
        <f>E674*C674</f>
        <v>23004</v>
      </c>
      <c r="G674" s="8"/>
      <c r="H674" s="8"/>
      <c r="I674" s="4">
        <f>E674*3*0.3+E674*0.2+E674*1.01*2</f>
        <v>7974.72</v>
      </c>
      <c r="J674" s="4"/>
      <c r="K674" s="8"/>
      <c r="L674" s="8"/>
      <c r="M674" s="8"/>
      <c r="N674" s="8"/>
      <c r="O674" s="4"/>
      <c r="P674" s="4">
        <f>SUM(G674:O674)</f>
        <v>7974.72</v>
      </c>
      <c r="Q674" s="4">
        <f>E674*C674+SUM(G674:O674)</f>
        <v>30978.72</v>
      </c>
      <c r="R674" s="4"/>
      <c r="S674" s="4">
        <f>Q674*$R$17</f>
        <v>371744.64</v>
      </c>
      <c r="T674" s="12"/>
    </row>
    <row r="675" spans="1:20" ht="12.75" customHeight="1">
      <c r="A675" s="10"/>
      <c r="B675" s="26" t="s">
        <v>40</v>
      </c>
      <c r="C675" s="10">
        <f>SUM(C672:C674)</f>
        <v>11</v>
      </c>
      <c r="D675" s="10"/>
      <c r="E675" s="10"/>
      <c r="F675" s="10">
        <f>SUM(F672:F674)</f>
        <v>28474</v>
      </c>
      <c r="G675" s="10"/>
      <c r="H675" s="10"/>
      <c r="I675" s="11">
        <f>SUM(I672:I674)</f>
        <v>9615.720000000001</v>
      </c>
      <c r="J675" s="11"/>
      <c r="K675" s="11">
        <f>SUM(K672:K674)</f>
        <v>728.5</v>
      </c>
      <c r="L675" s="11">
        <f>SUM(L672:L674)</f>
        <v>255.60000000000002</v>
      </c>
      <c r="M675" s="11">
        <f>SUM(M672:M674)</f>
        <v>874.1999999999999</v>
      </c>
      <c r="N675" s="10"/>
      <c r="O675" s="11"/>
      <c r="P675" s="11">
        <f>SUM(P672:P674)</f>
        <v>11474.02</v>
      </c>
      <c r="Q675" s="11">
        <f>SUM(Q672:Q674)</f>
        <v>39948.020000000004</v>
      </c>
      <c r="R675" s="11">
        <f>SUM(R672:R674)</f>
        <v>0</v>
      </c>
      <c r="S675" s="11">
        <f>SUM(S672:S674)</f>
        <v>479376.24</v>
      </c>
      <c r="T675" s="12"/>
    </row>
    <row r="676" spans="1:20" ht="24.75" customHeight="1">
      <c r="A676" s="3" t="s">
        <v>21</v>
      </c>
      <c r="B676" s="2" t="s">
        <v>181</v>
      </c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12"/>
    </row>
    <row r="677" spans="1:20" ht="12.75" customHeight="1">
      <c r="A677" s="7"/>
      <c r="B677" s="31" t="s">
        <v>502</v>
      </c>
      <c r="C677" s="7">
        <v>1</v>
      </c>
      <c r="D677" s="7">
        <v>11</v>
      </c>
      <c r="E677" s="7">
        <v>1678</v>
      </c>
      <c r="F677" s="7">
        <f>E677*C677</f>
        <v>1678</v>
      </c>
      <c r="G677" s="7"/>
      <c r="H677" s="7"/>
      <c r="I677" s="4"/>
      <c r="J677" s="7"/>
      <c r="K677" s="7"/>
      <c r="L677" s="7"/>
      <c r="M677" s="7"/>
      <c r="N677" s="7"/>
      <c r="O677" s="7"/>
      <c r="P677" s="4"/>
      <c r="Q677" s="4">
        <f>E677*C677+SUM(G677:O677)</f>
        <v>1678</v>
      </c>
      <c r="R677" s="7"/>
      <c r="S677" s="4">
        <f>Q677*$R$17</f>
        <v>20136</v>
      </c>
      <c r="T677" s="12"/>
    </row>
    <row r="678" spans="1:20" ht="12.75" customHeight="1">
      <c r="A678" s="8"/>
      <c r="B678" s="27" t="s">
        <v>80</v>
      </c>
      <c r="C678" s="8">
        <v>2</v>
      </c>
      <c r="D678" s="8">
        <v>4</v>
      </c>
      <c r="E678" s="8">
        <v>1243</v>
      </c>
      <c r="F678" s="8">
        <f>E678*C678</f>
        <v>2486</v>
      </c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9">
        <f>E678*C678+SUM(G678:O678)</f>
        <v>2486</v>
      </c>
      <c r="R678" s="8"/>
      <c r="S678" s="9">
        <f>Q678*$R$17</f>
        <v>29832</v>
      </c>
      <c r="T678" s="12"/>
    </row>
    <row r="679" spans="1:20" ht="12.75" customHeight="1">
      <c r="A679" s="10"/>
      <c r="B679" s="26" t="s">
        <v>40</v>
      </c>
      <c r="C679" s="10">
        <f>SUM(C677:C678)</f>
        <v>3</v>
      </c>
      <c r="D679" s="10"/>
      <c r="E679" s="10"/>
      <c r="F679" s="10">
        <f>SUM(F677:F678)</f>
        <v>4164</v>
      </c>
      <c r="G679" s="10"/>
      <c r="H679" s="10"/>
      <c r="I679" s="11"/>
      <c r="J679" s="11"/>
      <c r="K679" s="11"/>
      <c r="L679" s="11"/>
      <c r="M679" s="11"/>
      <c r="N679" s="11"/>
      <c r="O679" s="11"/>
      <c r="P679" s="11"/>
      <c r="Q679" s="11">
        <f>SUM(Q677:Q678)</f>
        <v>4164</v>
      </c>
      <c r="R679" s="11">
        <f>SUM(R677:R678)</f>
        <v>0</v>
      </c>
      <c r="S679" s="11">
        <f>SUM(S677:S678)</f>
        <v>49968</v>
      </c>
      <c r="T679" s="12"/>
    </row>
    <row r="680" spans="1:20" ht="12.75" customHeight="1">
      <c r="A680" s="10"/>
      <c r="B680" s="26" t="s">
        <v>32</v>
      </c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1">
        <v>12000</v>
      </c>
      <c r="R680" s="11"/>
      <c r="S680" s="4">
        <v>120000</v>
      </c>
      <c r="T680" s="12"/>
    </row>
    <row r="681" spans="1:20" ht="12.75" customHeight="1">
      <c r="A681" s="10"/>
      <c r="B681" s="26" t="s">
        <v>166</v>
      </c>
      <c r="C681" s="11">
        <f>C654+C657+C660+C666+C670+C675+C679+C680</f>
        <v>25</v>
      </c>
      <c r="D681" s="11"/>
      <c r="E681" s="11"/>
      <c r="F681" s="11">
        <f>F654+F657+F660+F666+F670+F675+F679+F680</f>
        <v>48877.5</v>
      </c>
      <c r="G681" s="11">
        <f>G654+G657+G660+G666+G670+G675+G679+G680</f>
        <v>984</v>
      </c>
      <c r="H681" s="11"/>
      <c r="I681" s="11">
        <f>I654+I657+I660+I666+I670+I675+I679+I680</f>
        <v>10599.720000000001</v>
      </c>
      <c r="J681" s="11"/>
      <c r="K681" s="11">
        <f>K654+K657+K660+K666+K670+K675+K679+K680</f>
        <v>1548.5</v>
      </c>
      <c r="L681" s="11">
        <f>L654+L657+L660+L666+L670+L675+L679+L680</f>
        <v>255.60000000000002</v>
      </c>
      <c r="M681" s="11">
        <f>M654+M657+M660+M666+M670+M675+M679+M680</f>
        <v>874.1999999999999</v>
      </c>
      <c r="N681" s="11"/>
      <c r="O681" s="11"/>
      <c r="P681" s="11">
        <f>P654+P657+P660+P666+P670+P675+P679+P680</f>
        <v>14262.02</v>
      </c>
      <c r="Q681" s="11">
        <f>Q654+Q657+Q660+Q666+Q670+Q675+Q679+Q680</f>
        <v>75139.52</v>
      </c>
      <c r="R681" s="11">
        <f>R654+R657+R660+R666+R670+R675+R679+R680</f>
        <v>0</v>
      </c>
      <c r="S681" s="11">
        <f>S654+S657+S660+S666+S670+S675+S679+S680</f>
        <v>877674.24</v>
      </c>
      <c r="T681" s="12"/>
    </row>
    <row r="682" spans="1:20" ht="14.25" customHeight="1">
      <c r="A682" s="157" t="s">
        <v>257</v>
      </c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9"/>
      <c r="T682" s="12"/>
    </row>
    <row r="683" spans="1:20" ht="12.75" customHeight="1">
      <c r="A683" s="3">
        <v>1</v>
      </c>
      <c r="B683" s="2" t="s">
        <v>543</v>
      </c>
      <c r="C683" s="3">
        <v>1</v>
      </c>
      <c r="D683" s="3">
        <v>21</v>
      </c>
      <c r="E683" s="3">
        <v>3280</v>
      </c>
      <c r="F683" s="5">
        <f>E683*C683</f>
        <v>3280</v>
      </c>
      <c r="G683" s="5"/>
      <c r="H683" s="46"/>
      <c r="I683" s="5">
        <f>E683*C683*0.3</f>
        <v>984</v>
      </c>
      <c r="J683" s="5">
        <f>E683*C683*0.15</f>
        <v>492</v>
      </c>
      <c r="K683" s="5">
        <f>E683*C683*0.25</f>
        <v>820</v>
      </c>
      <c r="L683" s="3"/>
      <c r="M683" s="3"/>
      <c r="N683" s="3"/>
      <c r="O683" s="3"/>
      <c r="P683" s="5">
        <f>SUM(G683:O683)</f>
        <v>2296</v>
      </c>
      <c r="Q683" s="5">
        <f>E683*C683+SUM(G683:O683)</f>
        <v>5576</v>
      </c>
      <c r="R683" s="5"/>
      <c r="S683" s="5">
        <f>Q683*$R$17</f>
        <v>66912</v>
      </c>
      <c r="T683" s="12"/>
    </row>
    <row r="684" spans="1:20" ht="12.75" customHeight="1">
      <c r="A684" s="7">
        <f>A683+1</f>
        <v>2</v>
      </c>
      <c r="B684" s="31" t="s">
        <v>454</v>
      </c>
      <c r="C684" s="7">
        <v>0.5</v>
      </c>
      <c r="D684" s="7">
        <v>7</v>
      </c>
      <c r="E684" s="7">
        <v>1312</v>
      </c>
      <c r="F684" s="7">
        <f>E684*C684</f>
        <v>656</v>
      </c>
      <c r="G684" s="7"/>
      <c r="H684" s="7"/>
      <c r="I684" s="4"/>
      <c r="J684" s="4"/>
      <c r="K684" s="4"/>
      <c r="L684" s="7"/>
      <c r="M684" s="7"/>
      <c r="N684" s="7"/>
      <c r="O684" s="7"/>
      <c r="P684" s="7"/>
      <c r="Q684" s="4">
        <f>E684*C684+SUM(G684:O684)</f>
        <v>656</v>
      </c>
      <c r="R684" s="7"/>
      <c r="S684" s="4">
        <f>Q684*$R$17</f>
        <v>7872</v>
      </c>
      <c r="T684" s="12"/>
    </row>
    <row r="685" spans="1:20" ht="12.75" customHeight="1">
      <c r="A685" s="7">
        <v>3</v>
      </c>
      <c r="B685" s="31" t="s">
        <v>306</v>
      </c>
      <c r="C685" s="7">
        <v>1</v>
      </c>
      <c r="D685" s="7">
        <v>6</v>
      </c>
      <c r="E685" s="7">
        <v>1263</v>
      </c>
      <c r="F685" s="4">
        <f>E685*C685</f>
        <v>1263</v>
      </c>
      <c r="G685" s="7"/>
      <c r="H685" s="7"/>
      <c r="I685" s="4"/>
      <c r="J685" s="4"/>
      <c r="K685" s="4"/>
      <c r="L685" s="7"/>
      <c r="M685" s="7"/>
      <c r="N685" s="7"/>
      <c r="O685" s="7"/>
      <c r="P685" s="4"/>
      <c r="Q685" s="4">
        <f>E685*C685+SUM(G685:O685)</f>
        <v>1263</v>
      </c>
      <c r="R685" s="7"/>
      <c r="S685" s="4">
        <f>Q685*$R$17</f>
        <v>15156</v>
      </c>
      <c r="T685" s="12"/>
    </row>
    <row r="686" spans="1:20" ht="12.75" customHeight="1">
      <c r="A686" s="7">
        <f>A685+1</f>
        <v>4</v>
      </c>
      <c r="B686" s="31" t="s">
        <v>440</v>
      </c>
      <c r="C686" s="7">
        <v>1</v>
      </c>
      <c r="D686" s="7">
        <v>4</v>
      </c>
      <c r="E686" s="7">
        <v>1243</v>
      </c>
      <c r="F686" s="4">
        <f>E686*C686</f>
        <v>1243</v>
      </c>
      <c r="G686" s="7"/>
      <c r="H686" s="7"/>
      <c r="I686" s="4"/>
      <c r="J686" s="4"/>
      <c r="K686" s="4"/>
      <c r="L686" s="7"/>
      <c r="M686" s="7"/>
      <c r="N686" s="7"/>
      <c r="O686" s="7"/>
      <c r="P686" s="4"/>
      <c r="Q686" s="4">
        <f>E686*C686+SUM(G686:O686)</f>
        <v>1243</v>
      </c>
      <c r="R686" s="7"/>
      <c r="S686" s="4">
        <f>Q686*$R$17</f>
        <v>14916</v>
      </c>
      <c r="T686" s="12"/>
    </row>
    <row r="687" spans="1:20" ht="12.75" customHeight="1">
      <c r="A687" s="8">
        <f>A686+1</f>
        <v>5</v>
      </c>
      <c r="B687" s="27" t="s">
        <v>441</v>
      </c>
      <c r="C687" s="8">
        <v>1</v>
      </c>
      <c r="D687" s="8">
        <v>4</v>
      </c>
      <c r="E687" s="8">
        <v>1243</v>
      </c>
      <c r="F687" s="9">
        <f>E687*C687</f>
        <v>1243</v>
      </c>
      <c r="G687" s="8"/>
      <c r="H687" s="8"/>
      <c r="I687" s="9"/>
      <c r="J687" s="9"/>
      <c r="K687" s="9"/>
      <c r="L687" s="8"/>
      <c r="M687" s="8"/>
      <c r="N687" s="8"/>
      <c r="O687" s="8"/>
      <c r="P687" s="8"/>
      <c r="Q687" s="9">
        <f>E687*C687+SUM(G687:O687)</f>
        <v>1243</v>
      </c>
      <c r="R687" s="8"/>
      <c r="S687" s="9">
        <f>Q687*$R$17</f>
        <v>14916</v>
      </c>
      <c r="T687" s="12"/>
    </row>
    <row r="688" spans="1:20" ht="12.75" customHeight="1">
      <c r="A688" s="10"/>
      <c r="B688" s="68" t="s">
        <v>40</v>
      </c>
      <c r="C688" s="10">
        <f>SUM(C683:C687)</f>
        <v>4.5</v>
      </c>
      <c r="D688" s="10"/>
      <c r="E688" s="10"/>
      <c r="F688" s="10">
        <f>SUM(F683:F687)</f>
        <v>7685</v>
      </c>
      <c r="G688" s="10"/>
      <c r="H688" s="10"/>
      <c r="I688" s="10">
        <f>SUM(I683:I687)</f>
        <v>984</v>
      </c>
      <c r="J688" s="10">
        <f>SUM(J683:J687)</f>
        <v>492</v>
      </c>
      <c r="K688" s="10">
        <f>SUM(K683:K687)</f>
        <v>820</v>
      </c>
      <c r="L688" s="10"/>
      <c r="M688" s="10"/>
      <c r="N688" s="10"/>
      <c r="O688" s="10"/>
      <c r="P688" s="10">
        <f>SUM(P683:P687)</f>
        <v>2296</v>
      </c>
      <c r="Q688" s="10">
        <f>SUM(Q683:Q687)</f>
        <v>9981</v>
      </c>
      <c r="R688" s="10">
        <f>SUM(R683:R687)</f>
        <v>0</v>
      </c>
      <c r="S688" s="10">
        <f>SUM(S683:S687)</f>
        <v>119772</v>
      </c>
      <c r="T688" s="12"/>
    </row>
    <row r="689" spans="1:20" ht="24.75" customHeight="1">
      <c r="A689" s="7"/>
      <c r="B689" s="31" t="s">
        <v>442</v>
      </c>
      <c r="C689" s="7"/>
      <c r="D689" s="7"/>
      <c r="E689" s="7"/>
      <c r="F689" s="4"/>
      <c r="G689" s="4"/>
      <c r="H689" s="44"/>
      <c r="I689" s="4"/>
      <c r="J689" s="4"/>
      <c r="K689" s="4"/>
      <c r="L689" s="7"/>
      <c r="M689" s="7"/>
      <c r="N689" s="7"/>
      <c r="O689" s="7"/>
      <c r="P689" s="4"/>
      <c r="Q689" s="4"/>
      <c r="R689" s="4"/>
      <c r="S689" s="4"/>
      <c r="T689" s="12"/>
    </row>
    <row r="690" spans="1:20" ht="12.75" customHeight="1">
      <c r="A690" s="7">
        <v>1</v>
      </c>
      <c r="B690" s="31" t="s">
        <v>525</v>
      </c>
      <c r="C690" s="7">
        <v>1</v>
      </c>
      <c r="D690" s="7">
        <v>19</v>
      </c>
      <c r="E690" s="7">
        <v>2914</v>
      </c>
      <c r="F690" s="4">
        <f>E690*C690</f>
        <v>2914</v>
      </c>
      <c r="G690" s="4"/>
      <c r="H690" s="44"/>
      <c r="I690" s="4">
        <f>F690*0.3</f>
        <v>874.1999999999999</v>
      </c>
      <c r="J690" s="4">
        <f>F690*0.25</f>
        <v>728.5</v>
      </c>
      <c r="K690" s="4">
        <f>F690*0.15</f>
        <v>437.09999999999997</v>
      </c>
      <c r="L690" s="4">
        <f>F690*0.06</f>
        <v>174.84</v>
      </c>
      <c r="M690" s="7"/>
      <c r="N690" s="7"/>
      <c r="O690" s="7"/>
      <c r="P690" s="4">
        <f>SUM(G690:O690)</f>
        <v>2214.64</v>
      </c>
      <c r="Q690" s="4">
        <f>E690*C690+SUM(G690:O690)</f>
        <v>5128.639999999999</v>
      </c>
      <c r="R690" s="4"/>
      <c r="S690" s="4">
        <f>Q690*$R$17</f>
        <v>61543.67999999999</v>
      </c>
      <c r="T690" s="12"/>
    </row>
    <row r="691" spans="1:20" ht="12.75" customHeight="1">
      <c r="A691" s="7">
        <v>2</v>
      </c>
      <c r="B691" s="31" t="s">
        <v>444</v>
      </c>
      <c r="C691" s="7">
        <v>1</v>
      </c>
      <c r="D691" s="7">
        <v>19</v>
      </c>
      <c r="E691" s="7">
        <v>2914</v>
      </c>
      <c r="F691" s="4">
        <f>E691*C691</f>
        <v>2914</v>
      </c>
      <c r="G691" s="4"/>
      <c r="H691" s="44"/>
      <c r="I691" s="4">
        <f>F691*0.3</f>
        <v>874.1999999999999</v>
      </c>
      <c r="J691" s="4">
        <f>F691*0.25</f>
        <v>728.5</v>
      </c>
      <c r="K691" s="4">
        <f>F691*0.15</f>
        <v>437.09999999999997</v>
      </c>
      <c r="L691" s="4"/>
      <c r="M691" s="7"/>
      <c r="N691" s="7"/>
      <c r="O691" s="7"/>
      <c r="P691" s="4">
        <f>SUM(G691:O691)</f>
        <v>2039.7999999999997</v>
      </c>
      <c r="Q691" s="4">
        <f>E691*C691+SUM(G691:O691)</f>
        <v>4953.799999999999</v>
      </c>
      <c r="R691" s="4"/>
      <c r="S691" s="4">
        <f>Q691*$R$17</f>
        <v>59445.59999999999</v>
      </c>
      <c r="T691" s="12"/>
    </row>
    <row r="692" spans="1:20" ht="12.75" customHeight="1">
      <c r="A692" s="7">
        <v>3</v>
      </c>
      <c r="B692" s="31" t="s">
        <v>16</v>
      </c>
      <c r="C692" s="7">
        <v>7</v>
      </c>
      <c r="D692" s="7">
        <v>19</v>
      </c>
      <c r="E692" s="7">
        <v>2914</v>
      </c>
      <c r="F692" s="4">
        <f>E692*C692</f>
        <v>20398</v>
      </c>
      <c r="G692" s="4"/>
      <c r="H692" s="44"/>
      <c r="I692" s="4">
        <f>F692*0.3</f>
        <v>6119.4</v>
      </c>
      <c r="J692" s="4">
        <f>F692*0.22</f>
        <v>4487.56</v>
      </c>
      <c r="K692" s="4">
        <f>F692*0.15</f>
        <v>3059.7</v>
      </c>
      <c r="L692" s="7"/>
      <c r="M692" s="7"/>
      <c r="N692" s="7"/>
      <c r="O692" s="7"/>
      <c r="P692" s="4">
        <f>SUM(G692:O692)</f>
        <v>13666.66</v>
      </c>
      <c r="Q692" s="4">
        <f>E692*C692+SUM(G692:O692)</f>
        <v>34064.66</v>
      </c>
      <c r="R692" s="4"/>
      <c r="S692" s="4">
        <f>Q692*$R$17</f>
        <v>408775.92000000004</v>
      </c>
      <c r="T692" s="12"/>
    </row>
    <row r="693" spans="1:20" ht="12.75" customHeight="1">
      <c r="A693" s="10"/>
      <c r="B693" s="26" t="s">
        <v>40</v>
      </c>
      <c r="C693" s="10">
        <f>SUM(C690:C692)</f>
        <v>9</v>
      </c>
      <c r="D693" s="10"/>
      <c r="E693" s="10"/>
      <c r="F693" s="10">
        <f>SUM(F690:F692)</f>
        <v>26226</v>
      </c>
      <c r="G693" s="10"/>
      <c r="H693" s="10"/>
      <c r="I693" s="11">
        <f>SUM(I690:I692)</f>
        <v>7867.799999999999</v>
      </c>
      <c r="J693" s="11">
        <f>SUM(J690:J692)</f>
        <v>5944.56</v>
      </c>
      <c r="K693" s="11">
        <f>SUM(K690:K692)</f>
        <v>3933.8999999999996</v>
      </c>
      <c r="L693" s="11">
        <f>SUM(L690:L692)</f>
        <v>174.84</v>
      </c>
      <c r="M693" s="10"/>
      <c r="N693" s="10"/>
      <c r="O693" s="10"/>
      <c r="P693" s="11">
        <f>SUM(P690:P692)</f>
        <v>17921.1</v>
      </c>
      <c r="Q693" s="11">
        <f>SUM(Q690:Q692)</f>
        <v>44147.100000000006</v>
      </c>
      <c r="R693" s="11">
        <f>SUM(R690:R692)</f>
        <v>0</v>
      </c>
      <c r="S693" s="11">
        <f>SUM(S690:S692)</f>
        <v>529765.2000000001</v>
      </c>
      <c r="T693" s="12"/>
    </row>
    <row r="694" spans="1:20" ht="24.75" customHeight="1">
      <c r="A694" s="3"/>
      <c r="B694" s="2" t="s">
        <v>442</v>
      </c>
      <c r="C694" s="3"/>
      <c r="D694" s="3"/>
      <c r="E694" s="3"/>
      <c r="F694" s="3"/>
      <c r="G694" s="3"/>
      <c r="H694" s="3"/>
      <c r="I694" s="5"/>
      <c r="J694" s="5"/>
      <c r="K694" s="5"/>
      <c r="L694" s="5"/>
      <c r="M694" s="3"/>
      <c r="N694" s="3"/>
      <c r="O694" s="3"/>
      <c r="P694" s="3"/>
      <c r="Q694" s="5"/>
      <c r="R694" s="5"/>
      <c r="S694" s="5"/>
      <c r="T694" s="12"/>
    </row>
    <row r="695" spans="1:20" ht="12.75" customHeight="1">
      <c r="A695" s="8">
        <v>1</v>
      </c>
      <c r="B695" s="27" t="s">
        <v>441</v>
      </c>
      <c r="C695" s="8">
        <v>1</v>
      </c>
      <c r="D695" s="8">
        <v>4</v>
      </c>
      <c r="E695" s="8">
        <v>1243</v>
      </c>
      <c r="F695" s="8">
        <f>E695*C695</f>
        <v>1243</v>
      </c>
      <c r="G695" s="8"/>
      <c r="H695" s="8"/>
      <c r="I695" s="9"/>
      <c r="J695" s="9"/>
      <c r="K695" s="9"/>
      <c r="L695" s="9"/>
      <c r="M695" s="8"/>
      <c r="N695" s="8"/>
      <c r="O695" s="8"/>
      <c r="P695" s="8"/>
      <c r="Q695" s="4">
        <f>E695*C695+SUM(G695:O695)</f>
        <v>1243</v>
      </c>
      <c r="R695" s="4"/>
      <c r="S695" s="4">
        <f>Q695*$R$17</f>
        <v>14916</v>
      </c>
      <c r="T695" s="12"/>
    </row>
    <row r="696" spans="1:20" ht="12.75" customHeight="1">
      <c r="A696" s="10"/>
      <c r="B696" s="26" t="s">
        <v>40</v>
      </c>
      <c r="C696" s="11">
        <f>SUM(C694:C695)</f>
        <v>1</v>
      </c>
      <c r="D696" s="10"/>
      <c r="E696" s="10"/>
      <c r="F696" s="11">
        <f>SUM(F694:F695)</f>
        <v>1243</v>
      </c>
      <c r="G696" s="10"/>
      <c r="H696" s="10"/>
      <c r="I696" s="11"/>
      <c r="J696" s="11"/>
      <c r="K696" s="11"/>
      <c r="L696" s="11"/>
      <c r="M696" s="10"/>
      <c r="N696" s="10"/>
      <c r="O696" s="10"/>
      <c r="P696" s="10"/>
      <c r="Q696" s="11">
        <f>SUM(Q694:Q695)</f>
        <v>1243</v>
      </c>
      <c r="R696" s="11">
        <f>SUM(R694:R695)</f>
        <v>0</v>
      </c>
      <c r="S696" s="11">
        <f>SUM(S694:S695)</f>
        <v>14916</v>
      </c>
      <c r="T696" s="12"/>
    </row>
    <row r="697" spans="1:20" ht="12.75" customHeight="1">
      <c r="A697" s="10"/>
      <c r="B697" s="68" t="s">
        <v>32</v>
      </c>
      <c r="C697" s="10"/>
      <c r="D697" s="10"/>
      <c r="E697" s="10"/>
      <c r="F697" s="11"/>
      <c r="G697" s="11"/>
      <c r="H697" s="22"/>
      <c r="I697" s="11"/>
      <c r="J697" s="11"/>
      <c r="K697" s="11"/>
      <c r="L697" s="10"/>
      <c r="M697" s="10"/>
      <c r="N697" s="10"/>
      <c r="O697" s="10"/>
      <c r="P697" s="11"/>
      <c r="Q697" s="11">
        <v>31000</v>
      </c>
      <c r="R697" s="11"/>
      <c r="S697" s="11">
        <f>Q697*$R$17</f>
        <v>372000</v>
      </c>
      <c r="T697" s="12"/>
    </row>
    <row r="698" spans="1:20" ht="12.75" customHeight="1">
      <c r="A698" s="10"/>
      <c r="B698" s="26" t="s">
        <v>443</v>
      </c>
      <c r="C698" s="22">
        <f>C688+C697+C696+C693</f>
        <v>14.5</v>
      </c>
      <c r="D698" s="11"/>
      <c r="E698" s="11"/>
      <c r="F698" s="11">
        <f>F688+F697+F696+F693</f>
        <v>35154</v>
      </c>
      <c r="G698" s="11"/>
      <c r="H698" s="11"/>
      <c r="I698" s="11">
        <f>I688+I697+I696+I693</f>
        <v>8851.8</v>
      </c>
      <c r="J698" s="11">
        <f>J688+J697+J696+J693</f>
        <v>6436.56</v>
      </c>
      <c r="K698" s="11">
        <f>K688+K697+K696+K693</f>
        <v>4753.9</v>
      </c>
      <c r="L698" s="11">
        <f>L688+L697+L696+L693</f>
        <v>174.84</v>
      </c>
      <c r="M698" s="11"/>
      <c r="N698" s="11"/>
      <c r="O698" s="11"/>
      <c r="P698" s="11">
        <f>P688+P697+P696+P693</f>
        <v>20217.1</v>
      </c>
      <c r="Q698" s="11">
        <f>Q688+Q697+Q696+Q693</f>
        <v>86371.1</v>
      </c>
      <c r="R698" s="11">
        <f>R688+R697+R696+R693</f>
        <v>0</v>
      </c>
      <c r="S698" s="11">
        <f>S688+S697+S696+S693</f>
        <v>1036453.2000000001</v>
      </c>
      <c r="T698" s="12"/>
    </row>
    <row r="699" spans="1:20" ht="12.75" customHeight="1">
      <c r="A699" s="157" t="s">
        <v>258</v>
      </c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9"/>
      <c r="T699" s="12"/>
    </row>
    <row r="700" spans="1:20" ht="12.75" customHeight="1">
      <c r="A700" s="3">
        <v>1</v>
      </c>
      <c r="B700" s="2" t="s">
        <v>438</v>
      </c>
      <c r="C700" s="3">
        <v>1</v>
      </c>
      <c r="D700" s="3">
        <v>21</v>
      </c>
      <c r="E700" s="3">
        <v>3280</v>
      </c>
      <c r="F700" s="5"/>
      <c r="G700" s="5"/>
      <c r="H700" s="3"/>
      <c r="I700" s="5"/>
      <c r="J700" s="5"/>
      <c r="K700" s="5"/>
      <c r="L700" s="3"/>
      <c r="M700" s="5">
        <v>1085.35</v>
      </c>
      <c r="N700" s="3"/>
      <c r="O700" s="3"/>
      <c r="P700" s="4">
        <f>SUM(G700:O700)</f>
        <v>1085.35</v>
      </c>
      <c r="Q700" s="4">
        <f>SUM(F700:O700)</f>
        <v>1085.35</v>
      </c>
      <c r="R700" s="5"/>
      <c r="S700" s="4">
        <f>Q700*$R$17</f>
        <v>13024.199999999999</v>
      </c>
      <c r="T700" s="12"/>
    </row>
    <row r="701" spans="1:20" ht="12.75" customHeight="1">
      <c r="A701" s="7">
        <f>A700+1</f>
        <v>2</v>
      </c>
      <c r="B701" s="123" t="s">
        <v>526</v>
      </c>
      <c r="C701" s="7">
        <v>1</v>
      </c>
      <c r="D701" s="7">
        <v>9</v>
      </c>
      <c r="E701" s="7">
        <v>1474</v>
      </c>
      <c r="F701" s="4">
        <f>E701*C701</f>
        <v>1474</v>
      </c>
      <c r="G701" s="7"/>
      <c r="H701" s="7"/>
      <c r="I701" s="7"/>
      <c r="J701" s="7"/>
      <c r="K701" s="7"/>
      <c r="L701" s="7"/>
      <c r="M701" s="7"/>
      <c r="N701" s="7"/>
      <c r="O701" s="7"/>
      <c r="P701" s="4"/>
      <c r="Q701" s="4">
        <f>SUM(F701:O701)</f>
        <v>1474</v>
      </c>
      <c r="R701" s="7"/>
      <c r="S701" s="4">
        <f>Q701*$R$17</f>
        <v>17688</v>
      </c>
      <c r="T701" s="12"/>
    </row>
    <row r="702" spans="1:20" ht="12.75" customHeight="1">
      <c r="A702" s="7">
        <f>A701+1</f>
        <v>3</v>
      </c>
      <c r="B702" s="123" t="s">
        <v>306</v>
      </c>
      <c r="C702" s="7">
        <v>2</v>
      </c>
      <c r="D702" s="7">
        <v>6</v>
      </c>
      <c r="E702" s="7">
        <v>1263</v>
      </c>
      <c r="F702" s="4">
        <f>E702*C702</f>
        <v>2526</v>
      </c>
      <c r="G702" s="7"/>
      <c r="H702" s="7"/>
      <c r="I702" s="7"/>
      <c r="J702" s="7"/>
      <c r="K702" s="7"/>
      <c r="L702" s="7"/>
      <c r="M702" s="7"/>
      <c r="N702" s="7"/>
      <c r="O702" s="7"/>
      <c r="P702" s="4"/>
      <c r="Q702" s="4">
        <f>SUM(F702:O702)</f>
        <v>2526</v>
      </c>
      <c r="R702" s="7"/>
      <c r="S702" s="4">
        <f>Q702*$R$17</f>
        <v>30312</v>
      </c>
      <c r="T702" s="12"/>
    </row>
    <row r="703" spans="1:20" ht="12.75" customHeight="1">
      <c r="A703" s="7">
        <f>A702+1</f>
        <v>4</v>
      </c>
      <c r="B703" s="123" t="s">
        <v>307</v>
      </c>
      <c r="C703" s="7">
        <v>1.5</v>
      </c>
      <c r="D703" s="7">
        <v>1</v>
      </c>
      <c r="E703" s="7">
        <v>1218</v>
      </c>
      <c r="F703" s="4">
        <f>E703*C703</f>
        <v>1827</v>
      </c>
      <c r="G703" s="7"/>
      <c r="H703" s="7"/>
      <c r="I703" s="7"/>
      <c r="J703" s="7"/>
      <c r="K703" s="7"/>
      <c r="L703" s="7"/>
      <c r="M703" s="7"/>
      <c r="N703" s="7"/>
      <c r="O703" s="4">
        <f>E703*C703*0.1</f>
        <v>182.70000000000002</v>
      </c>
      <c r="P703" s="4">
        <f>SUM(G703:O703)</f>
        <v>182.70000000000002</v>
      </c>
      <c r="Q703" s="4">
        <f>SUM(F703:O703)</f>
        <v>2009.7</v>
      </c>
      <c r="R703" s="7"/>
      <c r="S703" s="4">
        <f>Q703*$R$17</f>
        <v>24116.4</v>
      </c>
      <c r="T703" s="12"/>
    </row>
    <row r="704" spans="1:20" ht="12.75" customHeight="1">
      <c r="A704" s="7">
        <f>A703+1</f>
        <v>5</v>
      </c>
      <c r="B704" s="137" t="s">
        <v>436</v>
      </c>
      <c r="C704" s="7">
        <v>0.25</v>
      </c>
      <c r="D704" s="7">
        <v>4</v>
      </c>
      <c r="E704" s="7">
        <v>1243</v>
      </c>
      <c r="F704" s="44">
        <f>E704*C704</f>
        <v>310.75</v>
      </c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">
        <f>SUM(F704:O704)</f>
        <v>310.75</v>
      </c>
      <c r="R704" s="44"/>
      <c r="S704" s="44">
        <f>Q704*$R$17</f>
        <v>3729</v>
      </c>
      <c r="T704" s="12"/>
    </row>
    <row r="705" spans="1:20" ht="12.75" customHeight="1">
      <c r="A705" s="10"/>
      <c r="B705" s="68" t="s">
        <v>40</v>
      </c>
      <c r="C705" s="48">
        <f>SUM(C700:C704)</f>
        <v>5.75</v>
      </c>
      <c r="D705" s="11"/>
      <c r="E705" s="10"/>
      <c r="F705" s="22">
        <f>SUM(F700:F704)</f>
        <v>6137.75</v>
      </c>
      <c r="G705" s="22"/>
      <c r="H705" s="11"/>
      <c r="I705" s="11"/>
      <c r="J705" s="11"/>
      <c r="K705" s="11"/>
      <c r="L705" s="11"/>
      <c r="M705" s="11">
        <f>SUM(M700:M704)</f>
        <v>1085.35</v>
      </c>
      <c r="N705" s="11"/>
      <c r="O705" s="11">
        <f>SUM(O700:O704)</f>
        <v>182.70000000000002</v>
      </c>
      <c r="P705" s="11">
        <f>SUM(P700:P704)</f>
        <v>1268.05</v>
      </c>
      <c r="Q705" s="11">
        <f>SUM(Q700:Q704)</f>
        <v>7405.8</v>
      </c>
      <c r="R705" s="11">
        <f>SUM(R700:R704)</f>
        <v>0</v>
      </c>
      <c r="S705" s="11">
        <f>SUM(S700:S704)</f>
        <v>88869.6</v>
      </c>
      <c r="T705" s="12"/>
    </row>
    <row r="706" spans="1:20" ht="12.75" customHeight="1">
      <c r="A706" s="10"/>
      <c r="B706" s="68" t="s">
        <v>32</v>
      </c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1">
        <v>15000</v>
      </c>
      <c r="R706" s="11">
        <v>25000</v>
      </c>
      <c r="S706" s="11">
        <f>Q706*$R$17</f>
        <v>180000</v>
      </c>
      <c r="T706" s="12"/>
    </row>
    <row r="707" spans="1:20" ht="12.75" customHeight="1">
      <c r="A707" s="157" t="s">
        <v>249</v>
      </c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1"/>
      <c r="T707" s="12"/>
    </row>
    <row r="708" spans="1:20" ht="12" customHeight="1">
      <c r="A708" s="162"/>
      <c r="B708" s="2" t="s">
        <v>531</v>
      </c>
      <c r="C708" s="3">
        <v>1</v>
      </c>
      <c r="D708" s="3">
        <v>10</v>
      </c>
      <c r="E708" s="5">
        <v>1551</v>
      </c>
      <c r="F708" s="5">
        <f aca="true" t="shared" si="75" ref="F708:F715">E708*C708</f>
        <v>1551</v>
      </c>
      <c r="G708" s="5"/>
      <c r="H708" s="5"/>
      <c r="I708" s="5"/>
      <c r="J708" s="5"/>
      <c r="K708" s="5"/>
      <c r="L708" s="5"/>
      <c r="M708" s="5"/>
      <c r="N708" s="5"/>
      <c r="O708" s="5"/>
      <c r="P708" s="4"/>
      <c r="Q708" s="4">
        <f aca="true" t="shared" si="76" ref="Q708:Q715">E708*C708+SUM(G708:O708)</f>
        <v>1551</v>
      </c>
      <c r="R708" s="3"/>
      <c r="S708" s="5">
        <f aca="true" t="shared" si="77" ref="S708:S715">Q708*$R$17</f>
        <v>18612</v>
      </c>
      <c r="T708" s="12"/>
    </row>
    <row r="709" spans="1:20" ht="12" customHeight="1">
      <c r="A709" s="180"/>
      <c r="B709" s="31" t="s">
        <v>532</v>
      </c>
      <c r="C709" s="7">
        <v>1</v>
      </c>
      <c r="D709" s="7">
        <v>9</v>
      </c>
      <c r="E709" s="4">
        <v>1474</v>
      </c>
      <c r="F709" s="4">
        <f t="shared" si="75"/>
        <v>1474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>
        <f t="shared" si="76"/>
        <v>1474</v>
      </c>
      <c r="R709" s="7"/>
      <c r="S709" s="4">
        <f t="shared" si="77"/>
        <v>17688</v>
      </c>
      <c r="T709" s="12"/>
    </row>
    <row r="710" spans="1:20" ht="12" customHeight="1">
      <c r="A710" s="180"/>
      <c r="B710" s="31" t="s">
        <v>527</v>
      </c>
      <c r="C710" s="7">
        <v>1</v>
      </c>
      <c r="D710" s="7">
        <v>4</v>
      </c>
      <c r="E710" s="4">
        <v>1243</v>
      </c>
      <c r="F710" s="4">
        <f t="shared" si="75"/>
        <v>1243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>
        <f t="shared" si="76"/>
        <v>1243</v>
      </c>
      <c r="R710" s="7"/>
      <c r="S710" s="4">
        <f t="shared" si="77"/>
        <v>14916</v>
      </c>
      <c r="T710" s="12"/>
    </row>
    <row r="711" spans="1:20" ht="12" customHeight="1">
      <c r="A711" s="180"/>
      <c r="B711" s="31" t="s">
        <v>335</v>
      </c>
      <c r="C711" s="7">
        <v>4</v>
      </c>
      <c r="D711" s="7">
        <v>3</v>
      </c>
      <c r="E711" s="4">
        <v>1233</v>
      </c>
      <c r="F711" s="4">
        <f t="shared" si="75"/>
        <v>4932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>
        <f t="shared" si="76"/>
        <v>4932</v>
      </c>
      <c r="R711" s="7"/>
      <c r="S711" s="4">
        <f t="shared" si="77"/>
        <v>59184</v>
      </c>
      <c r="T711" s="12"/>
    </row>
    <row r="712" spans="1:20" ht="12" customHeight="1">
      <c r="A712" s="180"/>
      <c r="B712" s="31" t="s">
        <v>336</v>
      </c>
      <c r="C712" s="7">
        <v>3</v>
      </c>
      <c r="D712" s="7">
        <v>3</v>
      </c>
      <c r="E712" s="4">
        <v>1233</v>
      </c>
      <c r="F712" s="4">
        <f t="shared" si="75"/>
        <v>3699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>
        <f t="shared" si="76"/>
        <v>3699</v>
      </c>
      <c r="R712" s="7"/>
      <c r="S712" s="4">
        <f t="shared" si="77"/>
        <v>44388</v>
      </c>
      <c r="T712" s="12"/>
    </row>
    <row r="713" spans="1:20" ht="12" customHeight="1">
      <c r="A713" s="180"/>
      <c r="B713" s="31" t="s">
        <v>345</v>
      </c>
      <c r="C713" s="7">
        <v>1</v>
      </c>
      <c r="D713" s="7">
        <v>1</v>
      </c>
      <c r="E713" s="4">
        <v>1218</v>
      </c>
      <c r="F713" s="7">
        <f t="shared" si="75"/>
        <v>1218</v>
      </c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4">
        <f t="shared" si="76"/>
        <v>1218</v>
      </c>
      <c r="R713" s="7"/>
      <c r="S713" s="4">
        <f t="shared" si="77"/>
        <v>14616</v>
      </c>
      <c r="T713" s="12"/>
    </row>
    <row r="714" spans="1:20" ht="12" customHeight="1">
      <c r="A714" s="180"/>
      <c r="B714" s="55" t="s">
        <v>528</v>
      </c>
      <c r="C714" s="7">
        <v>2</v>
      </c>
      <c r="D714" s="7">
        <v>3</v>
      </c>
      <c r="E714" s="4">
        <v>1233</v>
      </c>
      <c r="F714" s="4">
        <f t="shared" si="75"/>
        <v>2466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>
        <f t="shared" si="76"/>
        <v>2466</v>
      </c>
      <c r="R714" s="7"/>
      <c r="S714" s="4">
        <f t="shared" si="77"/>
        <v>29592</v>
      </c>
      <c r="T714" s="12"/>
    </row>
    <row r="715" spans="1:20" ht="24.75" customHeight="1">
      <c r="A715" s="180"/>
      <c r="B715" s="31" t="s">
        <v>529</v>
      </c>
      <c r="C715" s="7">
        <v>2</v>
      </c>
      <c r="D715" s="7">
        <v>3</v>
      </c>
      <c r="E715" s="4">
        <v>1233</v>
      </c>
      <c r="F715" s="4">
        <f t="shared" si="75"/>
        <v>2466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>
        <f t="shared" si="76"/>
        <v>2466</v>
      </c>
      <c r="R715" s="7"/>
      <c r="S715" s="4">
        <f t="shared" si="77"/>
        <v>29592</v>
      </c>
      <c r="T715" s="12"/>
    </row>
    <row r="716" spans="1:20" ht="12.75" customHeight="1">
      <c r="A716" s="10"/>
      <c r="B716" s="26" t="s">
        <v>40</v>
      </c>
      <c r="C716" s="10">
        <f>SUM(C708:C715)</f>
        <v>15</v>
      </c>
      <c r="D716" s="10"/>
      <c r="E716" s="10"/>
      <c r="F716" s="11">
        <f>SUM(F708:F715)</f>
        <v>19049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1">
        <f>SUM(Q708:Q715)</f>
        <v>19049</v>
      </c>
      <c r="R716" s="11">
        <f>SUM(R708:R715)</f>
        <v>0</v>
      </c>
      <c r="S716" s="11">
        <f>SUM(S708:S715)</f>
        <v>228588</v>
      </c>
      <c r="T716" s="12"/>
    </row>
    <row r="717" spans="1:20" ht="12" customHeight="1">
      <c r="A717" s="157" t="s">
        <v>167</v>
      </c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9"/>
      <c r="T717" s="12"/>
    </row>
    <row r="718" spans="1:20" ht="12" customHeight="1">
      <c r="A718" s="3"/>
      <c r="B718" s="2" t="s">
        <v>530</v>
      </c>
      <c r="C718" s="3">
        <v>1</v>
      </c>
      <c r="D718" s="3">
        <v>11</v>
      </c>
      <c r="E718" s="3">
        <v>1678</v>
      </c>
      <c r="F718" s="4">
        <f aca="true" t="shared" si="78" ref="F718:F727">E718*C718</f>
        <v>1678</v>
      </c>
      <c r="G718" s="3"/>
      <c r="H718" s="3"/>
      <c r="I718" s="3"/>
      <c r="J718" s="3"/>
      <c r="K718" s="3"/>
      <c r="L718" s="3"/>
      <c r="M718" s="3"/>
      <c r="N718" s="3"/>
      <c r="O718" s="3"/>
      <c r="P718" s="7"/>
      <c r="Q718" s="4">
        <f aca="true" t="shared" si="79" ref="Q718:Q727">E718*C718+SUM(G718:O718)</f>
        <v>1678</v>
      </c>
      <c r="R718" s="3"/>
      <c r="S718" s="4">
        <f aca="true" t="shared" si="80" ref="S718:S727">Q718*$R$17</f>
        <v>20136</v>
      </c>
      <c r="T718" s="12"/>
    </row>
    <row r="719" spans="1:20" ht="12" customHeight="1">
      <c r="A719" s="7"/>
      <c r="B719" s="31" t="s">
        <v>38</v>
      </c>
      <c r="C719" s="7">
        <v>1</v>
      </c>
      <c r="D719" s="7">
        <v>5</v>
      </c>
      <c r="E719" s="7">
        <v>1253</v>
      </c>
      <c r="F719" s="7">
        <f t="shared" si="78"/>
        <v>1253</v>
      </c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4">
        <f t="shared" si="79"/>
        <v>1253</v>
      </c>
      <c r="R719" s="7"/>
      <c r="S719" s="4">
        <f t="shared" si="80"/>
        <v>15036</v>
      </c>
      <c r="T719" s="12"/>
    </row>
    <row r="720" spans="1:20" ht="12" customHeight="1">
      <c r="A720" s="7"/>
      <c r="B720" s="31" t="s">
        <v>327</v>
      </c>
      <c r="C720" s="7">
        <v>1</v>
      </c>
      <c r="D720" s="7">
        <v>4</v>
      </c>
      <c r="E720" s="7">
        <v>1243</v>
      </c>
      <c r="F720" s="4">
        <f t="shared" si="78"/>
        <v>1243</v>
      </c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4">
        <f t="shared" si="79"/>
        <v>1243</v>
      </c>
      <c r="R720" s="7"/>
      <c r="S720" s="4">
        <f t="shared" si="80"/>
        <v>14916</v>
      </c>
      <c r="T720" s="12"/>
    </row>
    <row r="721" spans="1:20" ht="12" customHeight="1">
      <c r="A721" s="7"/>
      <c r="B721" s="31" t="s">
        <v>383</v>
      </c>
      <c r="C721" s="7">
        <v>1</v>
      </c>
      <c r="D721" s="7">
        <v>2</v>
      </c>
      <c r="E721" s="7">
        <v>1223</v>
      </c>
      <c r="F721" s="4">
        <f t="shared" si="78"/>
        <v>1223</v>
      </c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4">
        <f t="shared" si="79"/>
        <v>1223</v>
      </c>
      <c r="R721" s="7"/>
      <c r="S721" s="4">
        <f t="shared" si="80"/>
        <v>14676</v>
      </c>
      <c r="T721" s="12"/>
    </row>
    <row r="722" spans="1:20" ht="12" customHeight="1">
      <c r="A722" s="7"/>
      <c r="B722" s="31" t="s">
        <v>382</v>
      </c>
      <c r="C722" s="7">
        <v>1</v>
      </c>
      <c r="D722" s="7">
        <v>2</v>
      </c>
      <c r="E722" s="7">
        <v>1223</v>
      </c>
      <c r="F722" s="4">
        <f t="shared" si="78"/>
        <v>1223</v>
      </c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4">
        <f t="shared" si="79"/>
        <v>1223</v>
      </c>
      <c r="R722" s="7"/>
      <c r="S722" s="4">
        <f t="shared" si="80"/>
        <v>14676</v>
      </c>
      <c r="T722" s="12"/>
    </row>
    <row r="723" spans="1:20" ht="12" customHeight="1">
      <c r="A723" s="7"/>
      <c r="B723" s="31" t="s">
        <v>328</v>
      </c>
      <c r="C723" s="7">
        <v>3</v>
      </c>
      <c r="D723" s="7">
        <v>2</v>
      </c>
      <c r="E723" s="7">
        <v>1223</v>
      </c>
      <c r="F723" s="4">
        <f t="shared" si="78"/>
        <v>3669</v>
      </c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4">
        <f t="shared" si="79"/>
        <v>3669</v>
      </c>
      <c r="R723" s="7"/>
      <c r="S723" s="4">
        <f t="shared" si="80"/>
        <v>44028</v>
      </c>
      <c r="T723" s="12"/>
    </row>
    <row r="724" spans="1:20" ht="12" customHeight="1">
      <c r="A724" s="7"/>
      <c r="B724" s="31" t="s">
        <v>329</v>
      </c>
      <c r="C724" s="7">
        <v>1</v>
      </c>
      <c r="D724" s="7">
        <v>2</v>
      </c>
      <c r="E724" s="7">
        <v>1223</v>
      </c>
      <c r="F724" s="4">
        <f t="shared" si="78"/>
        <v>1223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4">
        <f t="shared" si="79"/>
        <v>1223</v>
      </c>
      <c r="R724" s="7"/>
      <c r="S724" s="4">
        <f t="shared" si="80"/>
        <v>14676</v>
      </c>
      <c r="T724" s="12"/>
    </row>
    <row r="725" spans="1:20" ht="12" customHeight="1">
      <c r="A725" s="7"/>
      <c r="B725" s="31" t="s">
        <v>330</v>
      </c>
      <c r="C725" s="7">
        <v>5</v>
      </c>
      <c r="D725" s="7">
        <v>2</v>
      </c>
      <c r="E725" s="7">
        <v>1223</v>
      </c>
      <c r="F725" s="4">
        <f t="shared" si="78"/>
        <v>6115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4">
        <f t="shared" si="79"/>
        <v>6115</v>
      </c>
      <c r="R725" s="7"/>
      <c r="S725" s="4">
        <f t="shared" si="80"/>
        <v>73380</v>
      </c>
      <c r="T725" s="12"/>
    </row>
    <row r="726" spans="1:20" ht="12" customHeight="1">
      <c r="A726" s="7"/>
      <c r="B726" s="31" t="s">
        <v>331</v>
      </c>
      <c r="C726" s="7">
        <v>1</v>
      </c>
      <c r="D726" s="7">
        <v>2</v>
      </c>
      <c r="E726" s="7">
        <v>1223</v>
      </c>
      <c r="F726" s="4">
        <f t="shared" si="78"/>
        <v>1223</v>
      </c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4">
        <f t="shared" si="79"/>
        <v>1223</v>
      </c>
      <c r="R726" s="7"/>
      <c r="S726" s="4">
        <f t="shared" si="80"/>
        <v>14676</v>
      </c>
      <c r="T726" s="12"/>
    </row>
    <row r="727" spans="1:20" ht="12" customHeight="1">
      <c r="A727" s="7"/>
      <c r="B727" s="31" t="s">
        <v>332</v>
      </c>
      <c r="C727" s="7">
        <v>1</v>
      </c>
      <c r="D727" s="7">
        <v>2</v>
      </c>
      <c r="E727" s="7">
        <v>1223</v>
      </c>
      <c r="F727" s="4">
        <f t="shared" si="78"/>
        <v>1223</v>
      </c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4">
        <f t="shared" si="79"/>
        <v>1223</v>
      </c>
      <c r="R727" s="7"/>
      <c r="S727" s="4">
        <f t="shared" si="80"/>
        <v>14676</v>
      </c>
      <c r="T727" s="12"/>
    </row>
    <row r="728" spans="1:20" ht="12" customHeight="1">
      <c r="A728" s="10"/>
      <c r="B728" s="26" t="s">
        <v>40</v>
      </c>
      <c r="C728" s="10">
        <f>SUM(C718:C727)</f>
        <v>16</v>
      </c>
      <c r="D728" s="10"/>
      <c r="E728" s="10"/>
      <c r="F728" s="10">
        <f>SUM(F718:F727)</f>
        <v>20073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>
        <f>SUM(Q718:Q727)</f>
        <v>20073</v>
      </c>
      <c r="R728" s="10">
        <f>SUM(R718:R727)</f>
        <v>0</v>
      </c>
      <c r="S728" s="10">
        <f>SUM(S718:S727)</f>
        <v>240876</v>
      </c>
      <c r="T728" s="12"/>
    </row>
    <row r="729" spans="1:22" ht="12" customHeight="1">
      <c r="A729" s="178" t="s">
        <v>168</v>
      </c>
      <c r="B729" s="159"/>
      <c r="C729" s="144">
        <f>C650+C681+C716+C705+C706+C698+C728</f>
        <v>476.75</v>
      </c>
      <c r="D729" s="48"/>
      <c r="E729" s="48"/>
      <c r="F729" s="11">
        <f aca="true" t="shared" si="81" ref="F729:S729">F650+F681+F716+F705+F706+F698+F728</f>
        <v>925380.25</v>
      </c>
      <c r="G729" s="11">
        <f t="shared" si="81"/>
        <v>96559.75</v>
      </c>
      <c r="H729" s="11">
        <f t="shared" si="81"/>
        <v>3802.9875</v>
      </c>
      <c r="I729" s="11">
        <f t="shared" si="81"/>
        <v>95747.07000000002</v>
      </c>
      <c r="J729" s="11">
        <f t="shared" si="81"/>
        <v>39663.344999999994</v>
      </c>
      <c r="K729" s="11">
        <f t="shared" si="81"/>
        <v>49248.8825</v>
      </c>
      <c r="L729" s="11">
        <f t="shared" si="81"/>
        <v>430.44000000000005</v>
      </c>
      <c r="M729" s="11">
        <f t="shared" si="81"/>
        <v>4367.349999999999</v>
      </c>
      <c r="N729" s="11">
        <f t="shared" si="81"/>
        <v>423.32620000000003</v>
      </c>
      <c r="O729" s="11">
        <f t="shared" si="81"/>
        <v>2376.6</v>
      </c>
      <c r="P729" s="11">
        <f t="shared" si="81"/>
        <v>292619.7512</v>
      </c>
      <c r="Q729" s="11">
        <f t="shared" si="81"/>
        <v>1336000.0012</v>
      </c>
      <c r="R729" s="11">
        <f t="shared" si="81"/>
        <v>25000</v>
      </c>
      <c r="S729" s="11">
        <f t="shared" si="81"/>
        <v>15888000.0144</v>
      </c>
      <c r="T729" s="12"/>
      <c r="U729" s="147"/>
      <c r="V729" s="12"/>
    </row>
    <row r="730" spans="1:20" ht="12.75" customHeight="1">
      <c r="A730" s="116" t="s">
        <v>417</v>
      </c>
      <c r="B730" s="117"/>
      <c r="C730" s="22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>
        <v>150000</v>
      </c>
      <c r="R730" s="11"/>
      <c r="S730" s="4">
        <f>Q730*$R$17</f>
        <v>1800000</v>
      </c>
      <c r="T730" s="12"/>
    </row>
    <row r="731" spans="1:23" ht="44.25" customHeight="1">
      <c r="A731" s="203" t="s">
        <v>445</v>
      </c>
      <c r="B731" s="204"/>
      <c r="C731" s="2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>
        <v>106000</v>
      </c>
      <c r="T731" s="12"/>
      <c r="U731" s="12"/>
      <c r="V731" s="12"/>
      <c r="W731" s="12"/>
    </row>
    <row r="732" spans="1:21" ht="12.75" customHeight="1">
      <c r="A732" s="178" t="s">
        <v>575</v>
      </c>
      <c r="B732" s="181"/>
      <c r="C732" s="22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>
        <f>F470+F484+F532+F654+F675</f>
        <v>606000</v>
      </c>
      <c r="T732" s="13">
        <f>18700000/12/476.75/1218</f>
        <v>2.683628345888983</v>
      </c>
      <c r="U732" s="12"/>
    </row>
    <row r="733" spans="1:23" ht="12.75" customHeight="1">
      <c r="A733" s="178" t="s">
        <v>169</v>
      </c>
      <c r="B733" s="159"/>
      <c r="C733" s="48">
        <f>SUM(C729:C729)</f>
        <v>476.75</v>
      </c>
      <c r="D733" s="11"/>
      <c r="E733" s="11"/>
      <c r="F733" s="11">
        <f>SUM(F729:F729)</f>
        <v>925380.25</v>
      </c>
      <c r="G733" s="11">
        <f>SUM(G729:G729)</f>
        <v>96559.75</v>
      </c>
      <c r="H733" s="11">
        <f aca="true" t="shared" si="82" ref="H733:S733">SUM(H729:H732)</f>
        <v>3802.9875</v>
      </c>
      <c r="I733" s="11">
        <f t="shared" si="82"/>
        <v>95747.07000000002</v>
      </c>
      <c r="J733" s="11">
        <f t="shared" si="82"/>
        <v>39663.344999999994</v>
      </c>
      <c r="K733" s="11">
        <f t="shared" si="82"/>
        <v>49248.8825</v>
      </c>
      <c r="L733" s="11">
        <f t="shared" si="82"/>
        <v>430.44000000000005</v>
      </c>
      <c r="M733" s="11">
        <f t="shared" si="82"/>
        <v>4367.349999999999</v>
      </c>
      <c r="N733" s="11">
        <f t="shared" si="82"/>
        <v>423.32620000000003</v>
      </c>
      <c r="O733" s="11">
        <f t="shared" si="82"/>
        <v>2376.6</v>
      </c>
      <c r="P733" s="11">
        <f t="shared" si="82"/>
        <v>292619.7512</v>
      </c>
      <c r="Q733" s="11">
        <f t="shared" si="82"/>
        <v>1486000.0012</v>
      </c>
      <c r="R733" s="11">
        <f t="shared" si="82"/>
        <v>25000</v>
      </c>
      <c r="S733" s="11">
        <f t="shared" si="82"/>
        <v>18400000.014399998</v>
      </c>
      <c r="T733" s="12"/>
      <c r="U733" s="12"/>
      <c r="V733" s="13"/>
      <c r="W733" s="12"/>
    </row>
    <row r="734" spans="1:23" ht="12.75" customHeight="1">
      <c r="A734" s="178" t="s">
        <v>323</v>
      </c>
      <c r="B734" s="159"/>
      <c r="C734" s="48">
        <f>C463+C733</f>
        <v>1355.05</v>
      </c>
      <c r="D734" s="11"/>
      <c r="E734" s="11"/>
      <c r="F734" s="11">
        <f aca="true" t="shared" si="83" ref="F734:S734">F463+F733</f>
        <v>2522655.85</v>
      </c>
      <c r="G734" s="11">
        <f t="shared" si="83"/>
        <v>117191</v>
      </c>
      <c r="H734" s="11">
        <f t="shared" si="83"/>
        <v>8278.212500000001</v>
      </c>
      <c r="I734" s="11">
        <f t="shared" si="83"/>
        <v>286171.07</v>
      </c>
      <c r="J734" s="11">
        <f t="shared" si="83"/>
        <v>138543.0075</v>
      </c>
      <c r="K734" s="11">
        <f t="shared" si="83"/>
        <v>191258.605</v>
      </c>
      <c r="L734" s="11">
        <f t="shared" si="83"/>
        <v>2686.44</v>
      </c>
      <c r="M734" s="11">
        <f t="shared" si="83"/>
        <v>16155.05</v>
      </c>
      <c r="N734" s="11">
        <f t="shared" si="83"/>
        <v>7747.3822</v>
      </c>
      <c r="O734" s="11">
        <f t="shared" si="83"/>
        <v>9912.960000000001</v>
      </c>
      <c r="P734" s="11">
        <f t="shared" si="83"/>
        <v>774944.1497</v>
      </c>
      <c r="Q734" s="11">
        <f t="shared" si="83"/>
        <v>3651900.0012</v>
      </c>
      <c r="R734" s="11">
        <f t="shared" si="83"/>
        <v>25000</v>
      </c>
      <c r="S734" s="11">
        <f t="shared" si="83"/>
        <v>45360999.6144</v>
      </c>
      <c r="T734" s="12">
        <v>18400000</v>
      </c>
      <c r="U734" s="12">
        <f>T734-S733</f>
        <v>-0.014399997889995575</v>
      </c>
      <c r="W734" s="13"/>
    </row>
    <row r="735" spans="1:20" ht="12.75" customHeight="1">
      <c r="A735" s="16"/>
      <c r="B735" s="125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12"/>
    </row>
    <row r="736" spans="1:21" ht="12.75" customHeight="1">
      <c r="A736" s="52"/>
      <c r="B736" s="51"/>
      <c r="C736" s="177" t="s">
        <v>456</v>
      </c>
      <c r="D736" s="177"/>
      <c r="E736" s="177"/>
      <c r="F736" s="16"/>
      <c r="G736" s="52"/>
      <c r="H736" s="52"/>
      <c r="I736" s="123"/>
      <c r="J736" s="123"/>
      <c r="K736" s="16" t="s">
        <v>555</v>
      </c>
      <c r="L736" s="16"/>
      <c r="M736" s="52"/>
      <c r="N736" s="52"/>
      <c r="O736" s="23"/>
      <c r="P736" s="23"/>
      <c r="Q736" s="23"/>
      <c r="R736" s="52"/>
      <c r="S736" s="23"/>
      <c r="T736" s="12">
        <v>19637500</v>
      </c>
      <c r="U736" s="12">
        <f>T736-T734</f>
        <v>1237500</v>
      </c>
    </row>
    <row r="737" spans="1:20" ht="12.75" customHeight="1">
      <c r="A737" s="52"/>
      <c r="B737" s="51"/>
      <c r="C737" s="16"/>
      <c r="D737" s="16"/>
      <c r="E737" s="16"/>
      <c r="F737" s="16"/>
      <c r="G737" s="52"/>
      <c r="H737" s="52"/>
      <c r="I737" s="123"/>
      <c r="J737" s="123"/>
      <c r="K737" s="52"/>
      <c r="L737" s="52"/>
      <c r="M737" s="52"/>
      <c r="N737" s="52"/>
      <c r="O737" s="16"/>
      <c r="P737" s="16"/>
      <c r="Q737" s="52"/>
      <c r="R737" s="52"/>
      <c r="S737" s="23"/>
      <c r="T737" s="13"/>
    </row>
    <row r="738" spans="1:20" ht="12" customHeight="1">
      <c r="A738" s="52"/>
      <c r="B738" s="51"/>
      <c r="C738" s="16" t="s">
        <v>333</v>
      </c>
      <c r="D738" s="16"/>
      <c r="E738" s="16"/>
      <c r="F738" s="16"/>
      <c r="G738" s="16"/>
      <c r="H738" s="52"/>
      <c r="I738" s="123"/>
      <c r="J738" s="123"/>
      <c r="K738" s="16" t="s">
        <v>446</v>
      </c>
      <c r="L738" s="16"/>
      <c r="M738" s="16"/>
      <c r="N738" s="16"/>
      <c r="O738" s="16"/>
      <c r="P738" s="16"/>
      <c r="Q738" s="23"/>
      <c r="R738" s="52"/>
      <c r="S738" s="138"/>
      <c r="T738" s="12"/>
    </row>
    <row r="739" spans="1:20" ht="12.75">
      <c r="A739" s="52"/>
      <c r="B739" s="51"/>
      <c r="C739" s="16"/>
      <c r="D739" s="16"/>
      <c r="E739" s="16"/>
      <c r="F739" s="16"/>
      <c r="G739" s="52"/>
      <c r="H739" s="52"/>
      <c r="I739" s="123"/>
      <c r="J739" s="123"/>
      <c r="K739" s="52"/>
      <c r="L739" s="52"/>
      <c r="M739" s="52"/>
      <c r="N739" s="52"/>
      <c r="O739" s="16"/>
      <c r="P739" s="16"/>
      <c r="Q739" s="16"/>
      <c r="R739" s="16">
        <f>1434300*6+1434300*3*1.026+1434300*3*1.068+655300</f>
        <v>18271372.6</v>
      </c>
      <c r="S739" s="16"/>
      <c r="T739" s="13"/>
    </row>
    <row r="740" spans="1:19" ht="12.75">
      <c r="A740" s="52"/>
      <c r="B740" s="51"/>
      <c r="C740" s="16" t="s">
        <v>170</v>
      </c>
      <c r="D740" s="16"/>
      <c r="E740" s="16"/>
      <c r="F740" s="16"/>
      <c r="G740" s="16"/>
      <c r="H740" s="52"/>
      <c r="I740" s="123"/>
      <c r="J740" s="123"/>
      <c r="K740" s="16" t="s">
        <v>447</v>
      </c>
      <c r="L740" s="16"/>
      <c r="M740" s="16"/>
      <c r="N740" s="16"/>
      <c r="O740" s="16"/>
      <c r="P740" s="16"/>
      <c r="Q740" s="52"/>
      <c r="R740" s="52"/>
      <c r="S740" s="23"/>
    </row>
    <row r="741" spans="1:19" ht="12.75">
      <c r="A741" s="52"/>
      <c r="B741" s="51"/>
      <c r="C741" s="52"/>
      <c r="D741" s="52"/>
      <c r="E741" s="52"/>
      <c r="F741" s="52"/>
      <c r="G741" s="23"/>
      <c r="H741" s="23"/>
      <c r="I741" s="23"/>
      <c r="J741" s="23"/>
      <c r="K741" s="23"/>
      <c r="L741" s="23"/>
      <c r="M741" s="23"/>
      <c r="N741" s="23"/>
      <c r="O741" s="23"/>
      <c r="P741" s="52"/>
      <c r="Q741" s="52"/>
      <c r="R741" s="52"/>
      <c r="S741" s="52"/>
    </row>
    <row r="742" spans="1:19" ht="12.75">
      <c r="A742" s="52"/>
      <c r="B742" s="51"/>
      <c r="C742" s="52"/>
      <c r="D742" s="52"/>
      <c r="E742" s="52"/>
      <c r="F742" s="52"/>
      <c r="G742" s="23"/>
      <c r="H742" s="23"/>
      <c r="I742" s="23"/>
      <c r="J742" s="23"/>
      <c r="K742" s="23"/>
      <c r="L742" s="23"/>
      <c r="M742" s="23"/>
      <c r="N742" s="23"/>
      <c r="O742" s="23"/>
      <c r="P742" s="52"/>
      <c r="Q742" s="23">
        <f>3569500-Q734</f>
        <v>-82400.00119999982</v>
      </c>
      <c r="R742" s="52"/>
      <c r="S742" s="52"/>
    </row>
    <row r="743" spans="1:19" ht="12.75">
      <c r="A743" s="123"/>
      <c r="B743" s="123"/>
      <c r="C743" s="123"/>
      <c r="D743" s="123" t="s">
        <v>419</v>
      </c>
      <c r="E743" s="123"/>
      <c r="F743" s="123"/>
      <c r="G743" s="123"/>
      <c r="H743" s="123"/>
      <c r="I743" s="126"/>
      <c r="J743" s="126"/>
      <c r="K743" s="123"/>
      <c r="L743" s="126"/>
      <c r="M743" s="126"/>
      <c r="N743" s="123"/>
      <c r="O743" s="123"/>
      <c r="P743" s="123"/>
      <c r="Q743" s="123"/>
      <c r="R743" s="123"/>
      <c r="S743" s="123"/>
    </row>
    <row r="744" spans="1:19" ht="12.75">
      <c r="A744" s="123"/>
      <c r="B744" s="123" t="s">
        <v>374</v>
      </c>
      <c r="C744" s="123">
        <f>SUM(C745:C748)</f>
        <v>289.3</v>
      </c>
      <c r="D744" s="123">
        <f>F744/C744</f>
        <v>2826.5973038368475</v>
      </c>
      <c r="E744" s="126"/>
      <c r="F744" s="123">
        <f aca="true" t="shared" si="84" ref="F744:S744">SUM(F745:F748)</f>
        <v>817734.6</v>
      </c>
      <c r="G744" s="123">
        <f t="shared" si="84"/>
        <v>557.25</v>
      </c>
      <c r="H744" s="123">
        <f t="shared" si="84"/>
        <v>4475.225</v>
      </c>
      <c r="I744" s="123">
        <f t="shared" si="84"/>
        <v>180612.1225</v>
      </c>
      <c r="J744" s="123">
        <f t="shared" si="84"/>
        <v>98879.6625</v>
      </c>
      <c r="K744" s="123">
        <f t="shared" si="84"/>
        <v>142009.7225</v>
      </c>
      <c r="L744" s="123">
        <f t="shared" si="84"/>
        <v>2256</v>
      </c>
      <c r="M744" s="126">
        <f t="shared" si="84"/>
        <v>11787.7</v>
      </c>
      <c r="N744" s="123">
        <f t="shared" si="84"/>
        <v>0</v>
      </c>
      <c r="O744" s="123">
        <f t="shared" si="84"/>
        <v>0</v>
      </c>
      <c r="P744" s="123">
        <f t="shared" si="84"/>
        <v>440577.6825</v>
      </c>
      <c r="Q744" s="123">
        <f t="shared" si="84"/>
        <v>1258312.2825</v>
      </c>
      <c r="R744" s="123">
        <f t="shared" si="84"/>
        <v>12</v>
      </c>
      <c r="S744" s="123">
        <f t="shared" si="84"/>
        <v>15099747.39</v>
      </c>
    </row>
    <row r="745" spans="1:19" ht="12.75">
      <c r="A745" s="123"/>
      <c r="B745" s="123" t="s">
        <v>185</v>
      </c>
      <c r="C745" s="123">
        <f aca="true" t="shared" si="85" ref="C745:S745">C17</f>
        <v>1</v>
      </c>
      <c r="D745" s="123">
        <f t="shared" si="85"/>
        <v>24</v>
      </c>
      <c r="E745" s="123">
        <f t="shared" si="85"/>
        <v>3715</v>
      </c>
      <c r="F745" s="123">
        <f t="shared" si="85"/>
        <v>3715</v>
      </c>
      <c r="G745" s="123">
        <f t="shared" si="85"/>
        <v>557.25</v>
      </c>
      <c r="H745" s="123">
        <f t="shared" si="85"/>
        <v>0</v>
      </c>
      <c r="I745" s="123">
        <f t="shared" si="85"/>
        <v>1114.5</v>
      </c>
      <c r="J745" s="123">
        <f t="shared" si="85"/>
        <v>743</v>
      </c>
      <c r="K745" s="123">
        <f t="shared" si="85"/>
        <v>1225.95</v>
      </c>
      <c r="L745" s="123">
        <f t="shared" si="85"/>
        <v>0</v>
      </c>
      <c r="M745" s="123">
        <f t="shared" si="85"/>
        <v>0</v>
      </c>
      <c r="N745" s="123">
        <f t="shared" si="85"/>
        <v>0</v>
      </c>
      <c r="O745" s="123">
        <f t="shared" si="85"/>
        <v>0</v>
      </c>
      <c r="P745" s="123">
        <f t="shared" si="85"/>
        <v>3640.7</v>
      </c>
      <c r="Q745" s="123">
        <f t="shared" si="85"/>
        <v>7355.7</v>
      </c>
      <c r="R745" s="123">
        <f t="shared" si="85"/>
        <v>12</v>
      </c>
      <c r="S745" s="123">
        <f t="shared" si="85"/>
        <v>88268.4</v>
      </c>
    </row>
    <row r="746" spans="1:19" ht="12.75">
      <c r="A746" s="123"/>
      <c r="B746" s="123" t="s">
        <v>12</v>
      </c>
      <c r="C746" s="123">
        <f aca="true" t="shared" si="86" ref="C746:S746">SUM(C18:C20)</f>
        <v>3</v>
      </c>
      <c r="D746" s="123">
        <f t="shared" si="86"/>
        <v>0</v>
      </c>
      <c r="E746" s="123">
        <f t="shared" si="86"/>
        <v>10032</v>
      </c>
      <c r="F746" s="123">
        <f t="shared" si="86"/>
        <v>10032</v>
      </c>
      <c r="G746" s="123">
        <f t="shared" si="86"/>
        <v>0</v>
      </c>
      <c r="H746" s="123">
        <f t="shared" si="86"/>
        <v>668.8000000000001</v>
      </c>
      <c r="I746" s="123">
        <f t="shared" si="86"/>
        <v>2006.3999999999999</v>
      </c>
      <c r="J746" s="123">
        <f t="shared" si="86"/>
        <v>1337.6000000000001</v>
      </c>
      <c r="K746" s="123">
        <f t="shared" si="86"/>
        <v>2207.04</v>
      </c>
      <c r="L746" s="123">
        <f t="shared" si="86"/>
        <v>0</v>
      </c>
      <c r="M746" s="123">
        <f t="shared" si="86"/>
        <v>0</v>
      </c>
      <c r="N746" s="123">
        <f t="shared" si="86"/>
        <v>0</v>
      </c>
      <c r="O746" s="123">
        <f t="shared" si="86"/>
        <v>0</v>
      </c>
      <c r="P746" s="123">
        <f t="shared" si="86"/>
        <v>6219.84</v>
      </c>
      <c r="Q746" s="123">
        <f t="shared" si="86"/>
        <v>16251.84</v>
      </c>
      <c r="R746" s="123">
        <f t="shared" si="86"/>
        <v>0</v>
      </c>
      <c r="S746" s="123">
        <f t="shared" si="86"/>
        <v>195022.08000000002</v>
      </c>
    </row>
    <row r="747" spans="1:19" ht="12.75">
      <c r="A747" s="123"/>
      <c r="B747" s="123" t="s">
        <v>375</v>
      </c>
      <c r="C747" s="123">
        <f aca="true" t="shared" si="87" ref="C747:S747">SUM(C21:C22)</f>
        <v>6</v>
      </c>
      <c r="D747" s="123">
        <f t="shared" si="87"/>
        <v>42</v>
      </c>
      <c r="E747" s="123">
        <f t="shared" si="87"/>
        <v>6560</v>
      </c>
      <c r="F747" s="123">
        <f t="shared" si="87"/>
        <v>19680</v>
      </c>
      <c r="G747" s="123">
        <f t="shared" si="87"/>
        <v>0</v>
      </c>
      <c r="H747" s="123">
        <f t="shared" si="87"/>
        <v>656</v>
      </c>
      <c r="I747" s="123">
        <f t="shared" si="87"/>
        <v>6232</v>
      </c>
      <c r="J747" s="123">
        <f t="shared" si="87"/>
        <v>3280</v>
      </c>
      <c r="K747" s="123">
        <f t="shared" si="87"/>
        <v>5444.8</v>
      </c>
      <c r="L747" s="123">
        <f t="shared" si="87"/>
        <v>0</v>
      </c>
      <c r="M747" s="123">
        <f t="shared" si="87"/>
        <v>0</v>
      </c>
      <c r="N747" s="123">
        <f t="shared" si="87"/>
        <v>0</v>
      </c>
      <c r="O747" s="123">
        <f t="shared" si="87"/>
        <v>0</v>
      </c>
      <c r="P747" s="123">
        <f t="shared" si="87"/>
        <v>15612.8</v>
      </c>
      <c r="Q747" s="123">
        <f t="shared" si="87"/>
        <v>35292.8</v>
      </c>
      <c r="R747" s="123">
        <f t="shared" si="87"/>
        <v>0</v>
      </c>
      <c r="S747" s="123">
        <f t="shared" si="87"/>
        <v>423513.6</v>
      </c>
    </row>
    <row r="748" spans="1:20" ht="12.75">
      <c r="A748" s="123"/>
      <c r="B748" s="123" t="s">
        <v>254</v>
      </c>
      <c r="C748" s="127">
        <f>SUM(C749:C755)</f>
        <v>279.3</v>
      </c>
      <c r="D748" s="123">
        <f>F748/C748</f>
        <v>2808.1188686000714</v>
      </c>
      <c r="E748" s="126"/>
      <c r="F748" s="126">
        <f aca="true" t="shared" si="88" ref="F748:S748">SUM(F749:F755)</f>
        <v>784307.6</v>
      </c>
      <c r="G748" s="126">
        <f t="shared" si="88"/>
        <v>0</v>
      </c>
      <c r="H748" s="126">
        <f t="shared" si="88"/>
        <v>3150.425</v>
      </c>
      <c r="I748" s="126">
        <f t="shared" si="88"/>
        <v>171259.2225</v>
      </c>
      <c r="J748" s="126">
        <f t="shared" si="88"/>
        <v>93519.0625</v>
      </c>
      <c r="K748" s="126">
        <f t="shared" si="88"/>
        <v>133131.9325</v>
      </c>
      <c r="L748" s="126">
        <f t="shared" si="88"/>
        <v>2256</v>
      </c>
      <c r="M748" s="126">
        <f t="shared" si="88"/>
        <v>11787.7</v>
      </c>
      <c r="N748" s="126">
        <f t="shared" si="88"/>
        <v>0</v>
      </c>
      <c r="O748" s="126">
        <f t="shared" si="88"/>
        <v>0</v>
      </c>
      <c r="P748" s="126">
        <f t="shared" si="88"/>
        <v>415104.34249999997</v>
      </c>
      <c r="Q748" s="126">
        <f t="shared" si="88"/>
        <v>1199411.9425</v>
      </c>
      <c r="R748" s="126">
        <f t="shared" si="88"/>
        <v>0</v>
      </c>
      <c r="S748" s="126">
        <f t="shared" si="88"/>
        <v>14392943.31</v>
      </c>
      <c r="T748" s="12"/>
    </row>
    <row r="749" spans="1:19" ht="12.75">
      <c r="A749" s="123"/>
      <c r="B749" s="123" t="s">
        <v>377</v>
      </c>
      <c r="C749" s="126">
        <f aca="true" t="shared" si="89" ref="C749:S749">SUM(C26:C29)</f>
        <v>33</v>
      </c>
      <c r="D749" s="126">
        <f t="shared" si="89"/>
        <v>81</v>
      </c>
      <c r="E749" s="126">
        <f t="shared" si="89"/>
        <v>12038</v>
      </c>
      <c r="F749" s="126">
        <f t="shared" si="89"/>
        <v>105897</v>
      </c>
      <c r="G749" s="126">
        <f t="shared" si="89"/>
        <v>0</v>
      </c>
      <c r="H749" s="126">
        <f t="shared" si="89"/>
        <v>1312</v>
      </c>
      <c r="I749" s="126">
        <f t="shared" si="89"/>
        <v>27505.100000000002</v>
      </c>
      <c r="J749" s="126">
        <f t="shared" si="89"/>
        <v>20796.25</v>
      </c>
      <c r="K749" s="126">
        <f t="shared" si="89"/>
        <v>34833.69</v>
      </c>
      <c r="L749" s="126">
        <f t="shared" si="89"/>
        <v>808.1800000000001</v>
      </c>
      <c r="M749" s="126">
        <f t="shared" si="89"/>
        <v>0</v>
      </c>
      <c r="N749" s="126">
        <f t="shared" si="89"/>
        <v>0</v>
      </c>
      <c r="O749" s="126">
        <f t="shared" si="89"/>
        <v>0</v>
      </c>
      <c r="P749" s="126">
        <f t="shared" si="89"/>
        <v>85255.22</v>
      </c>
      <c r="Q749" s="126">
        <f t="shared" si="89"/>
        <v>191152.21999999997</v>
      </c>
      <c r="R749" s="126">
        <f t="shared" si="89"/>
        <v>0</v>
      </c>
      <c r="S749" s="126">
        <f t="shared" si="89"/>
        <v>2293826.64</v>
      </c>
    </row>
    <row r="750" spans="1:19" ht="12.75">
      <c r="A750" s="123"/>
      <c r="B750" s="123" t="s">
        <v>378</v>
      </c>
      <c r="C750" s="128">
        <f aca="true" t="shared" si="90" ref="C750:S750">SUM(C30)</f>
        <v>6</v>
      </c>
      <c r="D750" s="126">
        <f t="shared" si="90"/>
        <v>19</v>
      </c>
      <c r="E750" s="126">
        <f t="shared" si="90"/>
        <v>2914</v>
      </c>
      <c r="F750" s="126">
        <f t="shared" si="90"/>
        <v>17484</v>
      </c>
      <c r="G750" s="126">
        <f t="shared" si="90"/>
        <v>0</v>
      </c>
      <c r="H750" s="126">
        <f t="shared" si="90"/>
        <v>0</v>
      </c>
      <c r="I750" s="126">
        <f t="shared" si="90"/>
        <v>5245.2</v>
      </c>
      <c r="J750" s="126">
        <f t="shared" si="90"/>
        <v>2622.6</v>
      </c>
      <c r="K750" s="126">
        <f t="shared" si="90"/>
        <v>4371</v>
      </c>
      <c r="L750" s="126">
        <f t="shared" si="90"/>
        <v>936.62</v>
      </c>
      <c r="M750" s="126">
        <f t="shared" si="90"/>
        <v>0</v>
      </c>
      <c r="N750" s="126">
        <f t="shared" si="90"/>
        <v>0</v>
      </c>
      <c r="O750" s="126">
        <f t="shared" si="90"/>
        <v>0</v>
      </c>
      <c r="P750" s="126">
        <f t="shared" si="90"/>
        <v>13175.42</v>
      </c>
      <c r="Q750" s="126">
        <f t="shared" si="90"/>
        <v>30659.42</v>
      </c>
      <c r="R750" s="126">
        <f t="shared" si="90"/>
        <v>0</v>
      </c>
      <c r="S750" s="126">
        <f t="shared" si="90"/>
        <v>367913.04</v>
      </c>
    </row>
    <row r="751" spans="1:19" ht="12.75">
      <c r="A751" s="123"/>
      <c r="B751" s="123" t="s">
        <v>379</v>
      </c>
      <c r="C751" s="126">
        <f aca="true" t="shared" si="91" ref="C751:S751">C31</f>
        <v>2</v>
      </c>
      <c r="D751" s="126">
        <f t="shared" si="91"/>
        <v>17</v>
      </c>
      <c r="E751" s="126">
        <f t="shared" si="91"/>
        <v>2556</v>
      </c>
      <c r="F751" s="126">
        <f t="shared" si="91"/>
        <v>5112</v>
      </c>
      <c r="G751" s="126">
        <f t="shared" si="91"/>
        <v>0</v>
      </c>
      <c r="H751" s="126">
        <f t="shared" si="91"/>
        <v>255.60000000000002</v>
      </c>
      <c r="I751" s="126">
        <f t="shared" si="91"/>
        <v>1533.6</v>
      </c>
      <c r="J751" s="126">
        <f t="shared" si="91"/>
        <v>383.4</v>
      </c>
      <c r="K751" s="126">
        <f t="shared" si="91"/>
        <v>0</v>
      </c>
      <c r="L751" s="126">
        <f t="shared" si="91"/>
        <v>511.20000000000005</v>
      </c>
      <c r="M751" s="126">
        <f t="shared" si="91"/>
        <v>0</v>
      </c>
      <c r="N751" s="126">
        <f t="shared" si="91"/>
        <v>0</v>
      </c>
      <c r="O751" s="126">
        <f t="shared" si="91"/>
        <v>0</v>
      </c>
      <c r="P751" s="126">
        <f t="shared" si="91"/>
        <v>2683.8</v>
      </c>
      <c r="Q751" s="126">
        <f t="shared" si="91"/>
        <v>7795.8</v>
      </c>
      <c r="R751" s="126">
        <f t="shared" si="91"/>
        <v>0</v>
      </c>
      <c r="S751" s="126">
        <f t="shared" si="91"/>
        <v>93549.6</v>
      </c>
    </row>
    <row r="752" spans="1:20" ht="12.75">
      <c r="A752" s="123"/>
      <c r="B752" s="123" t="s">
        <v>298</v>
      </c>
      <c r="C752" s="128">
        <f aca="true" t="shared" si="92" ref="C752:S752">SUM(C32:C34)</f>
        <v>33.25</v>
      </c>
      <c r="D752" s="126">
        <f t="shared" si="92"/>
        <v>59</v>
      </c>
      <c r="E752" s="126">
        <f t="shared" si="92"/>
        <v>9116</v>
      </c>
      <c r="F752" s="126">
        <f t="shared" si="92"/>
        <v>100256.5</v>
      </c>
      <c r="G752" s="126">
        <f t="shared" si="92"/>
        <v>0</v>
      </c>
      <c r="H752" s="126">
        <f t="shared" si="92"/>
        <v>0</v>
      </c>
      <c r="I752" s="126">
        <f t="shared" si="92"/>
        <v>25418.06</v>
      </c>
      <c r="J752" s="126">
        <f t="shared" si="92"/>
        <v>17247.9375</v>
      </c>
      <c r="K752" s="126">
        <f t="shared" si="92"/>
        <v>23335.5925</v>
      </c>
      <c r="L752" s="126">
        <f t="shared" si="92"/>
        <v>0</v>
      </c>
      <c r="M752" s="126">
        <f t="shared" si="92"/>
        <v>0</v>
      </c>
      <c r="N752" s="126">
        <f t="shared" si="92"/>
        <v>0</v>
      </c>
      <c r="O752" s="126">
        <f t="shared" si="92"/>
        <v>0</v>
      </c>
      <c r="P752" s="126">
        <f t="shared" si="92"/>
        <v>66001.59</v>
      </c>
      <c r="Q752" s="126">
        <f t="shared" si="92"/>
        <v>166258.09</v>
      </c>
      <c r="R752" s="126">
        <f t="shared" si="92"/>
        <v>0</v>
      </c>
      <c r="S752" s="126">
        <f t="shared" si="92"/>
        <v>1995097.0799999998</v>
      </c>
      <c r="T752" s="126"/>
    </row>
    <row r="753" spans="1:19" ht="12.75">
      <c r="A753" s="123"/>
      <c r="B753" s="123" t="s">
        <v>299</v>
      </c>
      <c r="C753" s="128">
        <f aca="true" t="shared" si="93" ref="C753:S753">SUM(C35:C39)</f>
        <v>138</v>
      </c>
      <c r="D753" s="126">
        <f t="shared" si="93"/>
        <v>90</v>
      </c>
      <c r="E753" s="126">
        <f t="shared" si="93"/>
        <v>13675</v>
      </c>
      <c r="F753" s="126">
        <f t="shared" si="93"/>
        <v>390541.75</v>
      </c>
      <c r="G753" s="126">
        <f t="shared" si="93"/>
        <v>0</v>
      </c>
      <c r="H753" s="126">
        <f t="shared" si="93"/>
        <v>582.8000000000001</v>
      </c>
      <c r="I753" s="126">
        <f t="shared" si="93"/>
        <v>82425.72499999999</v>
      </c>
      <c r="J753" s="126">
        <f t="shared" si="93"/>
        <v>52023.1875</v>
      </c>
      <c r="K753" s="126">
        <f t="shared" si="93"/>
        <v>70591.65</v>
      </c>
      <c r="L753" s="126">
        <f t="shared" si="93"/>
        <v>0</v>
      </c>
      <c r="M753" s="126">
        <f t="shared" si="93"/>
        <v>9541</v>
      </c>
      <c r="N753" s="126">
        <f t="shared" si="93"/>
        <v>0</v>
      </c>
      <c r="O753" s="126">
        <f t="shared" si="93"/>
        <v>0</v>
      </c>
      <c r="P753" s="126">
        <f t="shared" si="93"/>
        <v>215164.3625</v>
      </c>
      <c r="Q753" s="126">
        <f t="shared" si="93"/>
        <v>605706.1125</v>
      </c>
      <c r="R753" s="126">
        <f t="shared" si="93"/>
        <v>0</v>
      </c>
      <c r="S753" s="126">
        <f t="shared" si="93"/>
        <v>7268473.350000001</v>
      </c>
    </row>
    <row r="754" spans="1:19" ht="12.75">
      <c r="A754" s="123"/>
      <c r="B754" s="123" t="s">
        <v>300</v>
      </c>
      <c r="C754" s="128">
        <f aca="true" t="shared" si="94" ref="C754:S754">SUM(C40:C42)</f>
        <v>31.5</v>
      </c>
      <c r="D754" s="126">
        <f t="shared" si="94"/>
        <v>51</v>
      </c>
      <c r="E754" s="126">
        <f t="shared" si="94"/>
        <v>7668</v>
      </c>
      <c r="F754" s="126">
        <f t="shared" si="94"/>
        <v>80514</v>
      </c>
      <c r="G754" s="126">
        <f t="shared" si="94"/>
        <v>0</v>
      </c>
      <c r="H754" s="126">
        <f t="shared" si="94"/>
        <v>702.9000000000001</v>
      </c>
      <c r="I754" s="126">
        <f t="shared" si="94"/>
        <v>17350.64</v>
      </c>
      <c r="J754" s="126">
        <f t="shared" si="94"/>
        <v>0</v>
      </c>
      <c r="K754" s="126">
        <f t="shared" si="94"/>
        <v>0</v>
      </c>
      <c r="L754" s="126">
        <f t="shared" si="94"/>
        <v>0</v>
      </c>
      <c r="M754" s="126">
        <f t="shared" si="94"/>
        <v>1533.6</v>
      </c>
      <c r="N754" s="126">
        <f t="shared" si="94"/>
        <v>0</v>
      </c>
      <c r="O754" s="126">
        <f t="shared" si="94"/>
        <v>0</v>
      </c>
      <c r="P754" s="126">
        <f t="shared" si="94"/>
        <v>19587.139999999996</v>
      </c>
      <c r="Q754" s="126">
        <f t="shared" si="94"/>
        <v>100101.14000000001</v>
      </c>
      <c r="R754" s="126">
        <f t="shared" si="94"/>
        <v>0</v>
      </c>
      <c r="S754" s="126">
        <f t="shared" si="94"/>
        <v>1201213.68</v>
      </c>
    </row>
    <row r="755" spans="1:19" ht="12.75">
      <c r="A755" s="123"/>
      <c r="B755" s="123" t="s">
        <v>301</v>
      </c>
      <c r="C755" s="128">
        <f aca="true" t="shared" si="95" ref="C755:S755">SUM(C43:C45)</f>
        <v>35.55</v>
      </c>
      <c r="D755" s="126">
        <f t="shared" si="95"/>
        <v>48</v>
      </c>
      <c r="E755" s="126">
        <f t="shared" si="95"/>
        <v>7131</v>
      </c>
      <c r="F755" s="126">
        <f t="shared" si="95"/>
        <v>84502.35</v>
      </c>
      <c r="G755" s="126">
        <f t="shared" si="95"/>
        <v>0</v>
      </c>
      <c r="H755" s="126">
        <f t="shared" si="95"/>
        <v>297.125</v>
      </c>
      <c r="I755" s="126">
        <f t="shared" si="95"/>
        <v>11780.897500000001</v>
      </c>
      <c r="J755" s="126">
        <f t="shared" si="95"/>
        <v>445.6875</v>
      </c>
      <c r="K755" s="126">
        <f t="shared" si="95"/>
        <v>0</v>
      </c>
      <c r="L755" s="126">
        <f t="shared" si="95"/>
        <v>0</v>
      </c>
      <c r="M755" s="126">
        <f t="shared" si="95"/>
        <v>713.1</v>
      </c>
      <c r="N755" s="126">
        <f t="shared" si="95"/>
        <v>0</v>
      </c>
      <c r="O755" s="126">
        <f t="shared" si="95"/>
        <v>0</v>
      </c>
      <c r="P755" s="126">
        <f t="shared" si="95"/>
        <v>13236.810000000001</v>
      </c>
      <c r="Q755" s="126">
        <f t="shared" si="95"/>
        <v>97739.16</v>
      </c>
      <c r="R755" s="126">
        <f t="shared" si="95"/>
        <v>0</v>
      </c>
      <c r="S755" s="126">
        <f t="shared" si="95"/>
        <v>1172869.9200000002</v>
      </c>
    </row>
    <row r="756" spans="1:19" ht="12.75">
      <c r="A756" s="123"/>
      <c r="B756" s="123"/>
      <c r="C756" s="123"/>
      <c r="D756" s="123"/>
      <c r="E756" s="126"/>
      <c r="F756" s="123"/>
      <c r="G756" s="123"/>
      <c r="H756" s="126"/>
      <c r="I756" s="123"/>
      <c r="J756" s="123"/>
      <c r="K756" s="123"/>
      <c r="L756" s="123"/>
      <c r="M756" s="123"/>
      <c r="N756" s="123"/>
      <c r="O756" s="123"/>
      <c r="P756" s="127"/>
      <c r="Q756" s="126"/>
      <c r="R756" s="123"/>
      <c r="S756" s="126"/>
    </row>
    <row r="757" spans="1:19" ht="12.75">
      <c r="A757" s="123"/>
      <c r="B757" s="123" t="s">
        <v>380</v>
      </c>
      <c r="C757" s="127">
        <f>C50</f>
        <v>2</v>
      </c>
      <c r="D757" s="123">
        <f>F757/C757</f>
        <v>2027.5</v>
      </c>
      <c r="E757" s="127"/>
      <c r="F757" s="127">
        <f aca="true" t="shared" si="96" ref="F757:S757">F50</f>
        <v>4055</v>
      </c>
      <c r="G757" s="127">
        <f t="shared" si="96"/>
        <v>0</v>
      </c>
      <c r="H757" s="127">
        <f t="shared" si="96"/>
        <v>0</v>
      </c>
      <c r="I757" s="127">
        <f t="shared" si="96"/>
        <v>0</v>
      </c>
      <c r="J757" s="127">
        <f t="shared" si="96"/>
        <v>0</v>
      </c>
      <c r="K757" s="127">
        <f t="shared" si="96"/>
        <v>0</v>
      </c>
      <c r="L757" s="127">
        <f t="shared" si="96"/>
        <v>0</v>
      </c>
      <c r="M757" s="127">
        <f t="shared" si="96"/>
        <v>0</v>
      </c>
      <c r="N757" s="127">
        <f t="shared" si="96"/>
        <v>0</v>
      </c>
      <c r="O757" s="127">
        <f t="shared" si="96"/>
        <v>0</v>
      </c>
      <c r="P757" s="127">
        <f t="shared" si="96"/>
        <v>0</v>
      </c>
      <c r="Q757" s="127">
        <f t="shared" si="96"/>
        <v>4055</v>
      </c>
      <c r="R757" s="127">
        <f t="shared" si="96"/>
        <v>0</v>
      </c>
      <c r="S757" s="127">
        <f t="shared" si="96"/>
        <v>48660</v>
      </c>
    </row>
    <row r="758" spans="1:19" ht="12.75">
      <c r="A758" s="123"/>
      <c r="B758" s="123" t="s">
        <v>250</v>
      </c>
      <c r="C758" s="127">
        <f>C291+C301+C311+C314+C317+C321+SUM(C323:C327)+C341+C348+C353+C361+C366+C377+C379+C380+C384+C385+SUM(C408:C412)+C425+C430+C431+C432+C438+C449+C441</f>
        <v>304.5</v>
      </c>
      <c r="D758" s="123">
        <f>F758/C758</f>
        <v>1387.4909688013136</v>
      </c>
      <c r="E758" s="127"/>
      <c r="F758" s="127">
        <f aca="true" t="shared" si="97" ref="F758:S758">F291+F301+F311+F314+F317+F321+SUM(F323:F327)+F341+F348+F353+F361+F366+F377+F379+F380+F384+F385+SUM(F408:F412)+F425+F430+F431+F432+F438+F449+F441</f>
        <v>422491</v>
      </c>
      <c r="G758" s="127">
        <f t="shared" si="97"/>
        <v>0</v>
      </c>
      <c r="H758" s="127">
        <f t="shared" si="97"/>
        <v>0</v>
      </c>
      <c r="I758" s="127">
        <f t="shared" si="97"/>
        <v>852</v>
      </c>
      <c r="J758" s="127">
        <f t="shared" si="97"/>
        <v>0</v>
      </c>
      <c r="K758" s="127">
        <f t="shared" si="97"/>
        <v>0</v>
      </c>
      <c r="L758" s="127">
        <f t="shared" si="97"/>
        <v>0</v>
      </c>
      <c r="M758" s="127">
        <f t="shared" si="97"/>
        <v>0</v>
      </c>
      <c r="N758" s="127">
        <f t="shared" si="97"/>
        <v>352.224</v>
      </c>
      <c r="O758" s="127">
        <f t="shared" si="97"/>
        <v>959.16</v>
      </c>
      <c r="P758" s="127">
        <f t="shared" si="97"/>
        <v>2163.384</v>
      </c>
      <c r="Q758" s="127">
        <f t="shared" si="97"/>
        <v>424654.38399999996</v>
      </c>
      <c r="R758" s="127">
        <f t="shared" si="97"/>
        <v>0</v>
      </c>
      <c r="S758" s="127">
        <f t="shared" si="97"/>
        <v>5095852.608</v>
      </c>
    </row>
    <row r="759" spans="1:19" ht="12.75">
      <c r="A759" s="123"/>
      <c r="B759" s="123" t="s">
        <v>469</v>
      </c>
      <c r="C759" s="127">
        <f>C406</f>
        <v>26</v>
      </c>
      <c r="D759" s="123">
        <f>F759/C759</f>
        <v>1544.1538461538462</v>
      </c>
      <c r="E759" s="127"/>
      <c r="F759" s="127">
        <f aca="true" t="shared" si="98" ref="F759:S759">F406</f>
        <v>40148</v>
      </c>
      <c r="G759" s="127">
        <f t="shared" si="98"/>
        <v>20074</v>
      </c>
      <c r="H759" s="127">
        <f t="shared" si="98"/>
        <v>0</v>
      </c>
      <c r="I759" s="127">
        <f t="shared" si="98"/>
        <v>5960.3</v>
      </c>
      <c r="J759" s="127">
        <f t="shared" si="98"/>
        <v>0</v>
      </c>
      <c r="K759" s="127">
        <f t="shared" si="98"/>
        <v>0</v>
      </c>
      <c r="L759" s="127">
        <f t="shared" si="98"/>
        <v>0</v>
      </c>
      <c r="M759" s="127">
        <f t="shared" si="98"/>
        <v>0</v>
      </c>
      <c r="N759" s="127">
        <f t="shared" si="98"/>
        <v>0</v>
      </c>
      <c r="O759" s="127">
        <f t="shared" si="98"/>
        <v>0</v>
      </c>
      <c r="P759" s="127">
        <f t="shared" si="98"/>
        <v>26034.3</v>
      </c>
      <c r="Q759" s="127">
        <f t="shared" si="98"/>
        <v>66182.3</v>
      </c>
      <c r="R759" s="127">
        <f t="shared" si="98"/>
        <v>0</v>
      </c>
      <c r="S759" s="127">
        <f t="shared" si="98"/>
        <v>794187.6000000001</v>
      </c>
    </row>
    <row r="760" spans="1:20" ht="12.75">
      <c r="A760" s="123"/>
      <c r="B760" s="123" t="s">
        <v>253</v>
      </c>
      <c r="C760" s="123">
        <f>SUM(C329:C334)+C381+SUM(C387:C392)+SUM(C413:C422)+C426+C427+C433+C452+C455</f>
        <v>256.5</v>
      </c>
      <c r="D760" s="123">
        <f>F760/C760</f>
        <v>1219.6764132553606</v>
      </c>
      <c r="E760" s="126"/>
      <c r="F760" s="123">
        <f aca="true" t="shared" si="99" ref="F760:S760">SUM(F329:F334)+F381+SUM(F387:F392)+SUM(F413:F422)+F426+F427+F433+F452+F455</f>
        <v>312847</v>
      </c>
      <c r="G760" s="123">
        <f t="shared" si="99"/>
        <v>0</v>
      </c>
      <c r="H760" s="123">
        <f t="shared" si="99"/>
        <v>0</v>
      </c>
      <c r="I760" s="123">
        <f t="shared" si="99"/>
        <v>0</v>
      </c>
      <c r="J760" s="123">
        <f t="shared" si="99"/>
        <v>0</v>
      </c>
      <c r="K760" s="123">
        <f t="shared" si="99"/>
        <v>0</v>
      </c>
      <c r="L760" s="123">
        <f t="shared" si="99"/>
        <v>0</v>
      </c>
      <c r="M760" s="123">
        <f t="shared" si="99"/>
        <v>0</v>
      </c>
      <c r="N760" s="123">
        <f t="shared" si="99"/>
        <v>6971.831999999999</v>
      </c>
      <c r="O760" s="123">
        <f t="shared" si="99"/>
        <v>6577.200000000001</v>
      </c>
      <c r="P760" s="123">
        <f t="shared" si="99"/>
        <v>13549.032</v>
      </c>
      <c r="Q760" s="126">
        <f t="shared" si="99"/>
        <v>326396.032</v>
      </c>
      <c r="R760" s="123">
        <f t="shared" si="99"/>
        <v>0</v>
      </c>
      <c r="S760" s="126">
        <f t="shared" si="99"/>
        <v>3916752.3839999996</v>
      </c>
      <c r="T760" s="12">
        <f>S758+S760</f>
        <v>9012604.991999999</v>
      </c>
    </row>
    <row r="761" spans="1:20" ht="12.75">
      <c r="A761" s="123"/>
      <c r="B761" s="123" t="s">
        <v>255</v>
      </c>
      <c r="C761" s="127">
        <f>SUM(C745:C748)+C757+C758+C759+C760</f>
        <v>878.3</v>
      </c>
      <c r="D761" s="123">
        <f>F761/C761</f>
        <v>1818.5991119207563</v>
      </c>
      <c r="E761" s="127"/>
      <c r="F761" s="126">
        <f aca="true" t="shared" si="100" ref="F761:S761">SUM(F745:F748)+F757+F758+F759+F760</f>
        <v>1597275.6</v>
      </c>
      <c r="G761" s="126">
        <f t="shared" si="100"/>
        <v>20631.25</v>
      </c>
      <c r="H761" s="126">
        <f t="shared" si="100"/>
        <v>4475.225</v>
      </c>
      <c r="I761" s="126">
        <f t="shared" si="100"/>
        <v>187424.4225</v>
      </c>
      <c r="J761" s="126">
        <f t="shared" si="100"/>
        <v>98879.6625</v>
      </c>
      <c r="K761" s="126">
        <f t="shared" si="100"/>
        <v>142009.7225</v>
      </c>
      <c r="L761" s="126">
        <f t="shared" si="100"/>
        <v>2256</v>
      </c>
      <c r="M761" s="126">
        <f t="shared" si="100"/>
        <v>11787.7</v>
      </c>
      <c r="N761" s="126">
        <f t="shared" si="100"/>
        <v>7324.056</v>
      </c>
      <c r="O761" s="126">
        <f t="shared" si="100"/>
        <v>7536.360000000001</v>
      </c>
      <c r="P761" s="126">
        <f t="shared" si="100"/>
        <v>482324.3985</v>
      </c>
      <c r="Q761" s="126">
        <f t="shared" si="100"/>
        <v>2079599.9984999998</v>
      </c>
      <c r="R761" s="126">
        <f t="shared" si="100"/>
        <v>12</v>
      </c>
      <c r="S761" s="126">
        <f t="shared" si="100"/>
        <v>24955199.982</v>
      </c>
      <c r="T761" s="12"/>
    </row>
    <row r="762" spans="1:19" ht="12.75">
      <c r="A762" s="123"/>
      <c r="B762" s="123"/>
      <c r="C762" s="123"/>
      <c r="D762" s="123"/>
      <c r="E762" s="126"/>
      <c r="F762" s="127"/>
      <c r="G762" s="126"/>
      <c r="H762" s="126"/>
      <c r="I762" s="126"/>
      <c r="J762" s="126"/>
      <c r="K762" s="126"/>
      <c r="L762" s="126">
        <f>L763+M763</f>
        <v>0</v>
      </c>
      <c r="M762" s="126"/>
      <c r="N762" s="126"/>
      <c r="O762" s="126"/>
      <c r="P762" s="126"/>
      <c r="Q762" s="126"/>
      <c r="R762" s="126"/>
      <c r="S762" s="126"/>
    </row>
    <row r="763" spans="1:19" ht="12.75">
      <c r="A763" s="123"/>
      <c r="B763" s="123" t="s">
        <v>376</v>
      </c>
      <c r="C763" s="123"/>
      <c r="D763" s="123"/>
      <c r="E763" s="126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</row>
    <row r="764" spans="1:20" ht="12.75">
      <c r="A764" s="123"/>
      <c r="B764" s="123" t="s">
        <v>302</v>
      </c>
      <c r="C764" s="123"/>
      <c r="D764" s="123"/>
      <c r="E764" s="126"/>
      <c r="F764" s="123"/>
      <c r="G764" s="123"/>
      <c r="H764" s="123"/>
      <c r="I764" s="126"/>
      <c r="J764" s="126"/>
      <c r="K764" s="123"/>
      <c r="L764" s="123"/>
      <c r="M764" s="123"/>
      <c r="N764" s="123"/>
      <c r="O764" s="123"/>
      <c r="P764" s="123"/>
      <c r="Q764" s="126">
        <f>Q485+Q680+Q706+Q697</f>
        <v>118000</v>
      </c>
      <c r="R764" s="126">
        <f>R485+R680+R706+R698</f>
        <v>25000</v>
      </c>
      <c r="S764" s="126">
        <f>S485+S680+S706+S697</f>
        <v>1272000</v>
      </c>
      <c r="T764" s="13"/>
    </row>
    <row r="765" spans="1:20" ht="12.75">
      <c r="A765" s="123"/>
      <c r="B765" s="123"/>
      <c r="C765" s="128">
        <f>SUM(C766:C768)</f>
        <v>241</v>
      </c>
      <c r="D765" s="123">
        <f aca="true" t="shared" si="101" ref="D765:D772">F765/C765</f>
        <v>2587.066390041494</v>
      </c>
      <c r="E765" s="126"/>
      <c r="F765" s="123">
        <f aca="true" t="shared" si="102" ref="F765:S765">SUM(F766:F768)</f>
        <v>623483</v>
      </c>
      <c r="G765" s="126">
        <f t="shared" si="102"/>
        <v>10548.25</v>
      </c>
      <c r="H765" s="126">
        <f t="shared" si="102"/>
        <v>3802.9875</v>
      </c>
      <c r="I765" s="126">
        <f t="shared" si="102"/>
        <v>93908.97</v>
      </c>
      <c r="J765" s="126">
        <f t="shared" si="102"/>
        <v>39663.345</v>
      </c>
      <c r="K765" s="126">
        <f t="shared" si="102"/>
        <v>49248.8825</v>
      </c>
      <c r="L765" s="126">
        <f t="shared" si="102"/>
        <v>430.44000000000005</v>
      </c>
      <c r="M765" s="126">
        <f t="shared" si="102"/>
        <v>4367.35</v>
      </c>
      <c r="N765" s="126">
        <f t="shared" si="102"/>
        <v>0</v>
      </c>
      <c r="O765" s="123">
        <f t="shared" si="102"/>
        <v>0</v>
      </c>
      <c r="P765" s="123">
        <f t="shared" si="102"/>
        <v>201970.22499999998</v>
      </c>
      <c r="Q765" s="126">
        <f t="shared" si="102"/>
        <v>825453.225</v>
      </c>
      <c r="R765" s="123">
        <f t="shared" si="102"/>
        <v>0</v>
      </c>
      <c r="S765" s="126">
        <f t="shared" si="102"/>
        <v>9905438.7</v>
      </c>
      <c r="T765" s="13"/>
    </row>
    <row r="766" spans="1:19" ht="12.75">
      <c r="A766" s="123"/>
      <c r="B766" s="123" t="s">
        <v>284</v>
      </c>
      <c r="C766" s="128">
        <f>C466+C467+C468+C469</f>
        <v>2</v>
      </c>
      <c r="D766" s="123">
        <f t="shared" si="101"/>
        <v>3344</v>
      </c>
      <c r="E766" s="126"/>
      <c r="F766" s="123">
        <f aca="true" t="shared" si="103" ref="F766:S766">F466+F467+F468+F469</f>
        <v>6688</v>
      </c>
      <c r="G766" s="123">
        <f t="shared" si="103"/>
        <v>9564.25</v>
      </c>
      <c r="H766" s="123">
        <f t="shared" si="103"/>
        <v>668.8000000000001</v>
      </c>
      <c r="I766" s="123">
        <f t="shared" si="103"/>
        <v>1337.6</v>
      </c>
      <c r="J766" s="123">
        <f t="shared" si="103"/>
        <v>1337.6000000000001</v>
      </c>
      <c r="K766" s="123">
        <f t="shared" si="103"/>
        <v>2207.04</v>
      </c>
      <c r="L766" s="123">
        <f t="shared" si="103"/>
        <v>0</v>
      </c>
      <c r="M766" s="123">
        <f t="shared" si="103"/>
        <v>0</v>
      </c>
      <c r="N766" s="123">
        <f t="shared" si="103"/>
        <v>0</v>
      </c>
      <c r="O766" s="123">
        <f t="shared" si="103"/>
        <v>0</v>
      </c>
      <c r="P766" s="123">
        <f t="shared" si="103"/>
        <v>15115.29</v>
      </c>
      <c r="Q766" s="126">
        <f t="shared" si="103"/>
        <v>21803.29</v>
      </c>
      <c r="R766" s="123">
        <f t="shared" si="103"/>
        <v>0</v>
      </c>
      <c r="S766" s="126">
        <f t="shared" si="103"/>
        <v>261639.47999999998</v>
      </c>
    </row>
    <row r="767" spans="1:23" ht="12.75">
      <c r="A767" s="123"/>
      <c r="B767" s="123" t="s">
        <v>285</v>
      </c>
      <c r="C767" s="128">
        <f>C654+C700+C683</f>
        <v>3</v>
      </c>
      <c r="D767" s="123">
        <f t="shared" si="101"/>
        <v>2186.6666666666665</v>
      </c>
      <c r="E767" s="128"/>
      <c r="F767" s="126">
        <f aca="true" t="shared" si="104" ref="F767:S767">F654+F700+F683</f>
        <v>6560</v>
      </c>
      <c r="G767" s="126">
        <f t="shared" si="104"/>
        <v>984</v>
      </c>
      <c r="H767" s="126">
        <f t="shared" si="104"/>
        <v>0</v>
      </c>
      <c r="I767" s="126">
        <f t="shared" si="104"/>
        <v>1968</v>
      </c>
      <c r="J767" s="126">
        <f t="shared" si="104"/>
        <v>492</v>
      </c>
      <c r="K767" s="126">
        <f t="shared" si="104"/>
        <v>1640</v>
      </c>
      <c r="L767" s="126">
        <f t="shared" si="104"/>
        <v>0</v>
      </c>
      <c r="M767" s="126">
        <f t="shared" si="104"/>
        <v>1085.35</v>
      </c>
      <c r="N767" s="126">
        <f t="shared" si="104"/>
        <v>0</v>
      </c>
      <c r="O767" s="126">
        <f t="shared" si="104"/>
        <v>0</v>
      </c>
      <c r="P767" s="126">
        <f t="shared" si="104"/>
        <v>6169.35</v>
      </c>
      <c r="Q767" s="126">
        <f t="shared" si="104"/>
        <v>12729.35</v>
      </c>
      <c r="R767" s="126">
        <f t="shared" si="104"/>
        <v>0</v>
      </c>
      <c r="S767" s="126">
        <f t="shared" si="104"/>
        <v>152752.2</v>
      </c>
      <c r="U767" s="12"/>
      <c r="V767" s="12"/>
      <c r="W767" s="12"/>
    </row>
    <row r="768" spans="1:19" ht="12.75">
      <c r="A768" s="123"/>
      <c r="B768" s="123" t="s">
        <v>254</v>
      </c>
      <c r="C768" s="128">
        <f>SUM(C769:C772)</f>
        <v>236</v>
      </c>
      <c r="D768" s="123">
        <f t="shared" si="101"/>
        <v>2585.741525423729</v>
      </c>
      <c r="E768" s="128"/>
      <c r="F768" s="126">
        <f aca="true" t="shared" si="105" ref="F768:S768">SUM(F769:F772)</f>
        <v>610235</v>
      </c>
      <c r="G768" s="126">
        <f t="shared" si="105"/>
        <v>0</v>
      </c>
      <c r="H768" s="126">
        <f t="shared" si="105"/>
        <v>3134.1875</v>
      </c>
      <c r="I768" s="126">
        <f t="shared" si="105"/>
        <v>90603.37</v>
      </c>
      <c r="J768" s="126">
        <f t="shared" si="105"/>
        <v>37833.745</v>
      </c>
      <c r="K768" s="126">
        <f t="shared" si="105"/>
        <v>45401.8425</v>
      </c>
      <c r="L768" s="126">
        <f t="shared" si="105"/>
        <v>430.44000000000005</v>
      </c>
      <c r="M768" s="126">
        <f t="shared" si="105"/>
        <v>3282</v>
      </c>
      <c r="N768" s="126">
        <f t="shared" si="105"/>
        <v>0</v>
      </c>
      <c r="O768" s="126">
        <f t="shared" si="105"/>
        <v>0</v>
      </c>
      <c r="P768" s="126">
        <f t="shared" si="105"/>
        <v>180685.585</v>
      </c>
      <c r="Q768" s="126">
        <f t="shared" si="105"/>
        <v>790920.585</v>
      </c>
      <c r="R768" s="126">
        <f t="shared" si="105"/>
        <v>0</v>
      </c>
      <c r="S768" s="126">
        <f t="shared" si="105"/>
        <v>9491047.02</v>
      </c>
    </row>
    <row r="769" spans="1:19" ht="12.75">
      <c r="A769" s="123"/>
      <c r="B769" s="123" t="s">
        <v>298</v>
      </c>
      <c r="C769" s="128">
        <f>C472++C691</f>
        <v>5.75</v>
      </c>
      <c r="D769" s="123">
        <f t="shared" si="101"/>
        <v>3068.478260869565</v>
      </c>
      <c r="E769" s="128"/>
      <c r="F769" s="126">
        <f aca="true" t="shared" si="106" ref="F769:S769">F472++F691</f>
        <v>17643.75</v>
      </c>
      <c r="G769" s="126">
        <f t="shared" si="106"/>
        <v>0</v>
      </c>
      <c r="H769" s="126">
        <f t="shared" si="106"/>
        <v>775.25</v>
      </c>
      <c r="I769" s="126">
        <f t="shared" si="106"/>
        <v>5293.125</v>
      </c>
      <c r="J769" s="126">
        <f t="shared" si="106"/>
        <v>3674.4500000000003</v>
      </c>
      <c r="K769" s="126">
        <f t="shared" si="106"/>
        <v>5297.9175000000005</v>
      </c>
      <c r="L769" s="126">
        <f t="shared" si="106"/>
        <v>0</v>
      </c>
      <c r="M769" s="126">
        <f t="shared" si="106"/>
        <v>0</v>
      </c>
      <c r="N769" s="126">
        <f t="shared" si="106"/>
        <v>0</v>
      </c>
      <c r="O769" s="126">
        <f t="shared" si="106"/>
        <v>0</v>
      </c>
      <c r="P769" s="126">
        <f t="shared" si="106"/>
        <v>15040.7425</v>
      </c>
      <c r="Q769" s="126">
        <f t="shared" si="106"/>
        <v>32684.4925</v>
      </c>
      <c r="R769" s="126">
        <f t="shared" si="106"/>
        <v>0</v>
      </c>
      <c r="S769" s="126">
        <f t="shared" si="106"/>
        <v>392213.91</v>
      </c>
    </row>
    <row r="770" spans="1:20" ht="12.75">
      <c r="A770" s="123"/>
      <c r="B770" s="123" t="s">
        <v>299</v>
      </c>
      <c r="C770" s="128">
        <f>SUM(C473:C476)+C673+C690+C692</f>
        <v>105</v>
      </c>
      <c r="D770" s="123">
        <f t="shared" si="101"/>
        <v>2712.4119047619047</v>
      </c>
      <c r="E770" s="126"/>
      <c r="F770" s="126">
        <f aca="true" t="shared" si="107" ref="F770:S770">SUM(F473:F476)+F673+F690+F692</f>
        <v>284803.25</v>
      </c>
      <c r="G770" s="126">
        <f t="shared" si="107"/>
        <v>0</v>
      </c>
      <c r="H770" s="126">
        <f t="shared" si="107"/>
        <v>1311.3000000000002</v>
      </c>
      <c r="I770" s="126">
        <f t="shared" si="107"/>
        <v>46678.71</v>
      </c>
      <c r="J770" s="126">
        <f t="shared" si="107"/>
        <v>32527.969999999998</v>
      </c>
      <c r="K770" s="126">
        <f t="shared" si="107"/>
        <v>40103.924999999996</v>
      </c>
      <c r="L770" s="126">
        <f t="shared" si="107"/>
        <v>174.84</v>
      </c>
      <c r="M770" s="126">
        <f t="shared" si="107"/>
        <v>1748.3999999999999</v>
      </c>
      <c r="N770" s="126">
        <f t="shared" si="107"/>
        <v>0</v>
      </c>
      <c r="O770" s="126">
        <f t="shared" si="107"/>
        <v>0</v>
      </c>
      <c r="P770" s="126">
        <f t="shared" si="107"/>
        <v>122545.14499999999</v>
      </c>
      <c r="Q770" s="126">
        <f t="shared" si="107"/>
        <v>407348.395</v>
      </c>
      <c r="R770" s="126">
        <f t="shared" si="107"/>
        <v>0</v>
      </c>
      <c r="S770" s="126">
        <f t="shared" si="107"/>
        <v>4888180.739999999</v>
      </c>
      <c r="T770" s="12"/>
    </row>
    <row r="771" spans="1:19" ht="12.75">
      <c r="A771" s="123"/>
      <c r="B771" s="123" t="s">
        <v>300</v>
      </c>
      <c r="C771" s="128">
        <f>SUM(C477:C479)+C672+C674</f>
        <v>56.25</v>
      </c>
      <c r="D771" s="123">
        <f t="shared" si="101"/>
        <v>2556</v>
      </c>
      <c r="E771" s="126"/>
      <c r="F771" s="126">
        <f aca="true" t="shared" si="108" ref="F771:S771">SUM(F477:F479)+F672+F674</f>
        <v>143775</v>
      </c>
      <c r="G771" s="126">
        <f t="shared" si="108"/>
        <v>0</v>
      </c>
      <c r="H771" s="126">
        <f t="shared" si="108"/>
        <v>958.5</v>
      </c>
      <c r="I771" s="126">
        <f t="shared" si="108"/>
        <v>22051.96</v>
      </c>
      <c r="J771" s="126">
        <f t="shared" si="108"/>
        <v>383.4</v>
      </c>
      <c r="K771" s="126">
        <f t="shared" si="108"/>
        <v>0</v>
      </c>
      <c r="L771" s="126">
        <f t="shared" si="108"/>
        <v>255.60000000000002</v>
      </c>
      <c r="M771" s="126">
        <f t="shared" si="108"/>
        <v>1533.6</v>
      </c>
      <c r="N771" s="126">
        <f t="shared" si="108"/>
        <v>0</v>
      </c>
      <c r="O771" s="126">
        <f t="shared" si="108"/>
        <v>0</v>
      </c>
      <c r="P771" s="126">
        <f t="shared" si="108"/>
        <v>25183.06</v>
      </c>
      <c r="Q771" s="126">
        <f t="shared" si="108"/>
        <v>168958.06</v>
      </c>
      <c r="R771" s="126">
        <f t="shared" si="108"/>
        <v>0</v>
      </c>
      <c r="S771" s="126">
        <f t="shared" si="108"/>
        <v>2027496.7200000002</v>
      </c>
    </row>
    <row r="772" spans="1:19" ht="12.75">
      <c r="A772" s="123"/>
      <c r="B772" s="123" t="s">
        <v>301</v>
      </c>
      <c r="C772" s="128">
        <f>SUM(C480:C483)</f>
        <v>69</v>
      </c>
      <c r="D772" s="123">
        <f t="shared" si="101"/>
        <v>2377</v>
      </c>
      <c r="E772" s="126"/>
      <c r="F772" s="126">
        <f aca="true" t="shared" si="109" ref="F772:S772">SUM(F480:F483)</f>
        <v>164013</v>
      </c>
      <c r="G772" s="126">
        <f t="shared" si="109"/>
        <v>0</v>
      </c>
      <c r="H772" s="126">
        <f t="shared" si="109"/>
        <v>89.1375</v>
      </c>
      <c r="I772" s="126">
        <f t="shared" si="109"/>
        <v>16579.575</v>
      </c>
      <c r="J772" s="126">
        <f t="shared" si="109"/>
        <v>1247.925</v>
      </c>
      <c r="K772" s="126">
        <f t="shared" si="109"/>
        <v>0</v>
      </c>
      <c r="L772" s="126">
        <f t="shared" si="109"/>
        <v>0</v>
      </c>
      <c r="M772" s="126">
        <f t="shared" si="109"/>
        <v>0</v>
      </c>
      <c r="N772" s="126">
        <f t="shared" si="109"/>
        <v>0</v>
      </c>
      <c r="O772" s="126">
        <f t="shared" si="109"/>
        <v>0</v>
      </c>
      <c r="P772" s="126">
        <f t="shared" si="109"/>
        <v>17916.6375</v>
      </c>
      <c r="Q772" s="126">
        <f t="shared" si="109"/>
        <v>181929.6375</v>
      </c>
      <c r="R772" s="126">
        <f t="shared" si="109"/>
        <v>0</v>
      </c>
      <c r="S772" s="126">
        <f t="shared" si="109"/>
        <v>2183155.6500000004</v>
      </c>
    </row>
    <row r="773" spans="1:19" ht="12.75">
      <c r="A773" s="123"/>
      <c r="B773" s="123"/>
      <c r="C773" s="128"/>
      <c r="D773" s="123"/>
      <c r="E773" s="126"/>
      <c r="F773" s="127"/>
      <c r="G773" s="127"/>
      <c r="H773" s="127"/>
      <c r="I773" s="127"/>
      <c r="J773" s="127"/>
      <c r="K773" s="126"/>
      <c r="L773" s="126"/>
      <c r="M773" s="126"/>
      <c r="N773" s="126"/>
      <c r="O773" s="126"/>
      <c r="P773" s="126"/>
      <c r="Q773" s="126"/>
      <c r="R773" s="126"/>
      <c r="S773" s="126"/>
    </row>
    <row r="774" spans="1:19" ht="12.75">
      <c r="A774" s="123"/>
      <c r="B774" s="123" t="s">
        <v>250</v>
      </c>
      <c r="C774" s="128">
        <f>C490+C493+C496+C499+C502+C505+C508+C511+C514+C517+C520+C523+C526+C538+C550+C555+C560+C565+C569+C572+C574+C575+C576++C582+C592+C594+C602+C623+C648+C657+C660+C666+C670+C679+C684+C695+C708+C709+C710+C701+C702+C704+C685+C686+C687+C718+C719+C720</f>
        <v>78.75</v>
      </c>
      <c r="D774" s="126">
        <f aca="true" t="shared" si="110" ref="D774:S774">D490+D493+D496+D499+D502+D505+D508+D511+D514+D517+D520+D523+D526+D538+D550+D555+D560+D565+D569+D572+D574+D575+D576++D582+D592+D594+D602+D623+D648+D657+D660+D666+D670+D679+D684+D695+D708+D709+D710+D701+D702+D704+D685+D686+D687+D718+D719+D720</f>
        <v>131</v>
      </c>
      <c r="E774" s="126"/>
      <c r="F774" s="126">
        <f t="shared" si="110"/>
        <v>107704.75</v>
      </c>
      <c r="G774" s="126">
        <f t="shared" si="110"/>
        <v>40000</v>
      </c>
      <c r="H774" s="126">
        <f t="shared" si="110"/>
        <v>0</v>
      </c>
      <c r="I774" s="126">
        <f t="shared" si="110"/>
        <v>465.29999999999995</v>
      </c>
      <c r="J774" s="126">
        <f t="shared" si="110"/>
        <v>0</v>
      </c>
      <c r="K774" s="126">
        <f t="shared" si="110"/>
        <v>0</v>
      </c>
      <c r="L774" s="126">
        <f t="shared" si="110"/>
        <v>0</v>
      </c>
      <c r="M774" s="126">
        <f t="shared" si="110"/>
        <v>0</v>
      </c>
      <c r="N774" s="126">
        <f t="shared" si="110"/>
        <v>0</v>
      </c>
      <c r="O774" s="126">
        <f t="shared" si="110"/>
        <v>0</v>
      </c>
      <c r="P774" s="126">
        <f t="shared" si="110"/>
        <v>40465.3</v>
      </c>
      <c r="Q774" s="126">
        <f t="shared" si="110"/>
        <v>148170.05</v>
      </c>
      <c r="R774" s="126">
        <f t="shared" si="110"/>
        <v>0</v>
      </c>
      <c r="S774" s="126">
        <f t="shared" si="110"/>
        <v>1778040.6</v>
      </c>
    </row>
    <row r="775" spans="1:19" ht="12.75">
      <c r="A775" s="123"/>
      <c r="B775" s="123" t="s">
        <v>469</v>
      </c>
      <c r="C775" s="128">
        <f>C532</f>
        <v>8</v>
      </c>
      <c r="D775" s="123">
        <f>F775/C775</f>
        <v>1502.875</v>
      </c>
      <c r="E775" s="128"/>
      <c r="F775" s="126">
        <f aca="true" t="shared" si="111" ref="F775:S775">F532</f>
        <v>12023</v>
      </c>
      <c r="G775" s="126">
        <f t="shared" si="111"/>
        <v>6011.5</v>
      </c>
      <c r="H775" s="126">
        <f t="shared" si="111"/>
        <v>0</v>
      </c>
      <c r="I775" s="126">
        <f t="shared" si="111"/>
        <v>1372.8000000000002</v>
      </c>
      <c r="J775" s="126">
        <f t="shared" si="111"/>
        <v>0</v>
      </c>
      <c r="K775" s="126">
        <f t="shared" si="111"/>
        <v>0</v>
      </c>
      <c r="L775" s="126">
        <f t="shared" si="111"/>
        <v>0</v>
      </c>
      <c r="M775" s="126">
        <f t="shared" si="111"/>
        <v>0</v>
      </c>
      <c r="N775" s="126">
        <f t="shared" si="111"/>
        <v>0</v>
      </c>
      <c r="O775" s="126">
        <f t="shared" si="111"/>
        <v>0</v>
      </c>
      <c r="P775" s="126">
        <f t="shared" si="111"/>
        <v>7384.300000000001</v>
      </c>
      <c r="Q775" s="126">
        <f t="shared" si="111"/>
        <v>19407.3</v>
      </c>
      <c r="R775" s="126">
        <f t="shared" si="111"/>
        <v>0</v>
      </c>
      <c r="S775" s="126">
        <f t="shared" si="111"/>
        <v>232887.59999999998</v>
      </c>
    </row>
    <row r="776" spans="1:19" ht="12.75">
      <c r="A776" s="123"/>
      <c r="B776" s="123" t="s">
        <v>253</v>
      </c>
      <c r="C776" s="128">
        <f>C577+C578+C579+C587-C582+C599-C594+C616+C621+C636-C623+C639+C643+C647+C711+C712+C713+C714+C715+C703+C721+C722+C723+C724+C725+C726+C727</f>
        <v>149</v>
      </c>
      <c r="D776" s="123">
        <f>F776/C776</f>
        <v>1222.6140939597315</v>
      </c>
      <c r="E776" s="126"/>
      <c r="F776" s="126">
        <f aca="true" t="shared" si="112" ref="F776:S776">F577+F578+F579+F587-F582+F599-F594+F616+F621+F636-F623+F639+F643+F647+F711+F712+F713+F714+F715+F703+F721+F722+F723+F724+F725+F726+F727</f>
        <v>182169.5</v>
      </c>
      <c r="G776" s="127">
        <f t="shared" si="112"/>
        <v>0</v>
      </c>
      <c r="H776" s="127">
        <f t="shared" si="112"/>
        <v>0</v>
      </c>
      <c r="I776" s="127">
        <f t="shared" si="112"/>
        <v>0</v>
      </c>
      <c r="J776" s="127">
        <f t="shared" si="112"/>
        <v>0</v>
      </c>
      <c r="K776" s="127">
        <f t="shared" si="112"/>
        <v>0</v>
      </c>
      <c r="L776" s="127">
        <f t="shared" si="112"/>
        <v>0</v>
      </c>
      <c r="M776" s="127">
        <f t="shared" si="112"/>
        <v>0</v>
      </c>
      <c r="N776" s="126">
        <f t="shared" si="112"/>
        <v>423.32620000000003</v>
      </c>
      <c r="O776" s="127">
        <f t="shared" si="112"/>
        <v>2376.6</v>
      </c>
      <c r="P776" s="127">
        <f t="shared" si="112"/>
        <v>2799.9262</v>
      </c>
      <c r="Q776" s="127">
        <f t="shared" si="112"/>
        <v>184969.42620000002</v>
      </c>
      <c r="R776" s="127">
        <f t="shared" si="112"/>
        <v>0</v>
      </c>
      <c r="S776" s="127">
        <f t="shared" si="112"/>
        <v>2219633.1144</v>
      </c>
    </row>
    <row r="777" spans="1:19" ht="12.75">
      <c r="A777" s="123"/>
      <c r="B777" s="123" t="s">
        <v>255</v>
      </c>
      <c r="C777" s="128">
        <f>C766+C767+C768+C774+C775+C776</f>
        <v>476.75</v>
      </c>
      <c r="D777" s="123">
        <f>F777/C777</f>
        <v>1941.0178290508652</v>
      </c>
      <c r="E777" s="126"/>
      <c r="F777" s="126">
        <f aca="true" t="shared" si="113" ref="F777:S777">F766+F767+F768+F774+F775+F776</f>
        <v>925380.25</v>
      </c>
      <c r="G777" s="126">
        <f t="shared" si="113"/>
        <v>56559.75</v>
      </c>
      <c r="H777" s="126">
        <f t="shared" si="113"/>
        <v>3802.9875</v>
      </c>
      <c r="I777" s="126">
        <f t="shared" si="113"/>
        <v>95747.07</v>
      </c>
      <c r="J777" s="126">
        <f t="shared" si="113"/>
        <v>39663.345</v>
      </c>
      <c r="K777" s="126">
        <f t="shared" si="113"/>
        <v>49248.8825</v>
      </c>
      <c r="L777" s="126">
        <f t="shared" si="113"/>
        <v>430.44000000000005</v>
      </c>
      <c r="M777" s="126">
        <f t="shared" si="113"/>
        <v>4367.35</v>
      </c>
      <c r="N777" s="126">
        <f t="shared" si="113"/>
        <v>423.32620000000003</v>
      </c>
      <c r="O777" s="126">
        <f t="shared" si="113"/>
        <v>2376.6</v>
      </c>
      <c r="P777" s="126">
        <f t="shared" si="113"/>
        <v>252619.75119999994</v>
      </c>
      <c r="Q777" s="126">
        <f t="shared" si="113"/>
        <v>1178000.0012</v>
      </c>
      <c r="R777" s="126">
        <f t="shared" si="113"/>
        <v>0</v>
      </c>
      <c r="S777" s="126">
        <f t="shared" si="113"/>
        <v>14136000.014399998</v>
      </c>
    </row>
    <row r="778" spans="1:19" ht="12.75">
      <c r="A778" s="123"/>
      <c r="B778" s="123"/>
      <c r="C778" s="128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8"/>
      <c r="S778" s="130"/>
    </row>
    <row r="779" spans="1:19" ht="12.75">
      <c r="A779" s="123"/>
      <c r="B779" s="123"/>
      <c r="C779" s="128"/>
      <c r="D779" s="128"/>
      <c r="E779" s="126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</row>
    <row r="780" spans="1:19" ht="12.75">
      <c r="A780" s="123"/>
      <c r="B780" s="123" t="s">
        <v>459</v>
      </c>
      <c r="C780" s="127"/>
      <c r="D780" s="127"/>
      <c r="E780" s="126"/>
      <c r="F780" s="128"/>
      <c r="G780" s="128"/>
      <c r="H780" s="127"/>
      <c r="I780" s="127"/>
      <c r="J780" s="126"/>
      <c r="K780" s="128"/>
      <c r="L780" s="128"/>
      <c r="M780" s="126"/>
      <c r="N780" s="126"/>
      <c r="O780" s="126"/>
      <c r="P780" s="126"/>
      <c r="Q780" s="126"/>
      <c r="R780" s="128"/>
      <c r="S780" s="128"/>
    </row>
    <row r="781" spans="1:19" ht="12.75">
      <c r="A781" s="123"/>
      <c r="B781" s="123" t="s">
        <v>460</v>
      </c>
      <c r="C781" s="143">
        <f>C17+C18+C19+C21+C26+C27+C28+C32+C33</f>
        <v>54</v>
      </c>
      <c r="D781" s="131">
        <f aca="true" t="shared" si="114" ref="D781:D789">F781/C781</f>
        <v>3220.814814814815</v>
      </c>
      <c r="E781" s="143"/>
      <c r="F781" s="131">
        <f aca="true" t="shared" si="115" ref="F781:S781">F17+F18+F19+F21+F26+F27+F28+F32+F33</f>
        <v>173924</v>
      </c>
      <c r="G781" s="131">
        <f t="shared" si="115"/>
        <v>557.25</v>
      </c>
      <c r="H781" s="131">
        <f t="shared" si="115"/>
        <v>2636.8</v>
      </c>
      <c r="I781" s="131">
        <f t="shared" si="115"/>
        <v>47698.16</v>
      </c>
      <c r="J781" s="131">
        <f t="shared" si="115"/>
        <v>33552.2125</v>
      </c>
      <c r="K781" s="131">
        <f t="shared" si="115"/>
        <v>52534.10250000001</v>
      </c>
      <c r="L781" s="131">
        <f t="shared" si="115"/>
        <v>0</v>
      </c>
      <c r="M781" s="131">
        <f t="shared" si="115"/>
        <v>0</v>
      </c>
      <c r="N781" s="131">
        <f t="shared" si="115"/>
        <v>0</v>
      </c>
      <c r="O781" s="131">
        <f t="shared" si="115"/>
        <v>0</v>
      </c>
      <c r="P781" s="131">
        <f t="shared" si="115"/>
        <v>136978.525</v>
      </c>
      <c r="Q781" s="131">
        <f t="shared" si="115"/>
        <v>310902.52499999997</v>
      </c>
      <c r="R781" s="131">
        <f t="shared" si="115"/>
        <v>12</v>
      </c>
      <c r="S781" s="131">
        <f t="shared" si="115"/>
        <v>3730830.3</v>
      </c>
    </row>
    <row r="782" spans="1:20" ht="12.75">
      <c r="A782" s="123"/>
      <c r="B782" s="123" t="s">
        <v>461</v>
      </c>
      <c r="C782" s="128">
        <f>C17+C18+C21+C26+C27+C32</f>
        <v>46.25</v>
      </c>
      <c r="D782" s="131">
        <f t="shared" si="114"/>
        <v>3235.6378378378377</v>
      </c>
      <c r="E782" s="128"/>
      <c r="F782" s="126">
        <f aca="true" t="shared" si="116" ref="F782:S782">F17+F18+F21+F26+F27+F32</f>
        <v>149648.25</v>
      </c>
      <c r="G782" s="126">
        <f t="shared" si="116"/>
        <v>557.25</v>
      </c>
      <c r="H782" s="126">
        <f t="shared" si="116"/>
        <v>1968</v>
      </c>
      <c r="I782" s="126">
        <f t="shared" si="116"/>
        <v>40415.435</v>
      </c>
      <c r="J782" s="126">
        <f t="shared" si="116"/>
        <v>29743.65</v>
      </c>
      <c r="K782" s="126">
        <f t="shared" si="116"/>
        <v>44523.105</v>
      </c>
      <c r="L782" s="126">
        <f t="shared" si="116"/>
        <v>0</v>
      </c>
      <c r="M782" s="126">
        <f t="shared" si="116"/>
        <v>0</v>
      </c>
      <c r="N782" s="126">
        <f t="shared" si="116"/>
        <v>0</v>
      </c>
      <c r="O782" s="126">
        <f t="shared" si="116"/>
        <v>0</v>
      </c>
      <c r="P782" s="126">
        <f t="shared" si="116"/>
        <v>117207.44</v>
      </c>
      <c r="Q782" s="126">
        <f t="shared" si="116"/>
        <v>266855.69</v>
      </c>
      <c r="R782" s="126">
        <f t="shared" si="116"/>
        <v>12</v>
      </c>
      <c r="S782" s="126">
        <f t="shared" si="116"/>
        <v>3202268.28</v>
      </c>
      <c r="T782" s="12"/>
    </row>
    <row r="783" spans="1:19" ht="12.75">
      <c r="A783" s="123"/>
      <c r="B783" s="123" t="s">
        <v>299</v>
      </c>
      <c r="C783" s="128">
        <f>C22+C29+C30+C34+C35+C36</f>
        <v>136.75</v>
      </c>
      <c r="D783" s="131">
        <f t="shared" si="114"/>
        <v>2916.851919561243</v>
      </c>
      <c r="E783" s="128"/>
      <c r="F783" s="126">
        <f aca="true" t="shared" si="117" ref="F783:S783">F22+F29+F30+F34+F35+F36</f>
        <v>398879.5</v>
      </c>
      <c r="G783" s="126">
        <f t="shared" si="117"/>
        <v>0</v>
      </c>
      <c r="H783" s="126">
        <f t="shared" si="117"/>
        <v>582.8000000000001</v>
      </c>
      <c r="I783" s="126">
        <f t="shared" si="117"/>
        <v>93573.1</v>
      </c>
      <c r="J783" s="126">
        <f t="shared" si="117"/>
        <v>58370.675</v>
      </c>
      <c r="K783" s="126">
        <f t="shared" si="117"/>
        <v>89475.62</v>
      </c>
      <c r="L783" s="126">
        <f t="shared" si="117"/>
        <v>1744.8000000000002</v>
      </c>
      <c r="M783" s="126">
        <f t="shared" si="117"/>
        <v>4371</v>
      </c>
      <c r="N783" s="126">
        <f t="shared" si="117"/>
        <v>0</v>
      </c>
      <c r="O783" s="126">
        <f t="shared" si="117"/>
        <v>0</v>
      </c>
      <c r="P783" s="126">
        <f t="shared" si="117"/>
        <v>248117.99499999997</v>
      </c>
      <c r="Q783" s="126">
        <f t="shared" si="117"/>
        <v>646997.495</v>
      </c>
      <c r="R783" s="126">
        <f t="shared" si="117"/>
        <v>0</v>
      </c>
      <c r="S783" s="126">
        <f t="shared" si="117"/>
        <v>7763969.94</v>
      </c>
    </row>
    <row r="784" spans="1:19" ht="12.75">
      <c r="A784" s="123"/>
      <c r="B784" s="123" t="s">
        <v>462</v>
      </c>
      <c r="C784" s="128">
        <f>C19+C20+C22+C28+C29+C30+C33+C34+C35+C38</f>
        <v>159.25</v>
      </c>
      <c r="D784" s="131">
        <f t="shared" si="114"/>
        <v>2868.2354788069074</v>
      </c>
      <c r="E784" s="128"/>
      <c r="F784" s="126">
        <f aca="true" t="shared" si="118" ref="F784:S784">F19+F20+F22+F28+F29+F30+F33+F34+F35+F38</f>
        <v>456766.5</v>
      </c>
      <c r="G784" s="126">
        <f t="shared" si="118"/>
        <v>0</v>
      </c>
      <c r="H784" s="126">
        <f t="shared" si="118"/>
        <v>1251.6000000000001</v>
      </c>
      <c r="I784" s="126">
        <f t="shared" si="118"/>
        <v>101259.95</v>
      </c>
      <c r="J784" s="126">
        <f t="shared" si="118"/>
        <v>66012.15000000001</v>
      </c>
      <c r="K784" s="126">
        <f t="shared" si="118"/>
        <v>94208.3675</v>
      </c>
      <c r="L784" s="126">
        <f t="shared" si="118"/>
        <v>1744.8000000000002</v>
      </c>
      <c r="M784" s="126">
        <f t="shared" si="118"/>
        <v>9541</v>
      </c>
      <c r="N784" s="126">
        <f t="shared" si="118"/>
        <v>0</v>
      </c>
      <c r="O784" s="126">
        <f t="shared" si="118"/>
        <v>0</v>
      </c>
      <c r="P784" s="126">
        <f t="shared" si="118"/>
        <v>274017.8675</v>
      </c>
      <c r="Q784" s="126">
        <f t="shared" si="118"/>
        <v>730784.3675</v>
      </c>
      <c r="R784" s="126">
        <f t="shared" si="118"/>
        <v>0</v>
      </c>
      <c r="S784" s="126">
        <f t="shared" si="118"/>
        <v>8769412.41</v>
      </c>
    </row>
    <row r="785" spans="1:19" ht="12.75">
      <c r="A785" s="123"/>
      <c r="B785" s="123" t="s">
        <v>463</v>
      </c>
      <c r="C785" s="128">
        <f>SUM(C26:C31)</f>
        <v>41</v>
      </c>
      <c r="D785" s="131">
        <f t="shared" si="114"/>
        <v>3133.9756097560976</v>
      </c>
      <c r="E785" s="126"/>
      <c r="F785" s="126">
        <f aca="true" t="shared" si="119" ref="F785:S785">SUM(F26:F31)</f>
        <v>128493</v>
      </c>
      <c r="G785" s="126">
        <f t="shared" si="119"/>
        <v>0</v>
      </c>
      <c r="H785" s="126">
        <f t="shared" si="119"/>
        <v>1567.6</v>
      </c>
      <c r="I785" s="126">
        <f t="shared" si="119"/>
        <v>34283.9</v>
      </c>
      <c r="J785" s="126">
        <f t="shared" si="119"/>
        <v>23802.25</v>
      </c>
      <c r="K785" s="126">
        <f t="shared" si="119"/>
        <v>39204.69</v>
      </c>
      <c r="L785" s="126">
        <f t="shared" si="119"/>
        <v>2256</v>
      </c>
      <c r="M785" s="126">
        <f t="shared" si="119"/>
        <v>0</v>
      </c>
      <c r="N785" s="126">
        <f t="shared" si="119"/>
        <v>0</v>
      </c>
      <c r="O785" s="126">
        <f t="shared" si="119"/>
        <v>0</v>
      </c>
      <c r="P785" s="126">
        <f t="shared" si="119"/>
        <v>101114.44</v>
      </c>
      <c r="Q785" s="126">
        <f t="shared" si="119"/>
        <v>229607.43999999994</v>
      </c>
      <c r="R785" s="126">
        <f t="shared" si="119"/>
        <v>0</v>
      </c>
      <c r="S785" s="126">
        <f t="shared" si="119"/>
        <v>2755289.2800000003</v>
      </c>
    </row>
    <row r="786" spans="1:19" ht="12.75">
      <c r="A786" s="123"/>
      <c r="B786" s="123" t="s">
        <v>298</v>
      </c>
      <c r="C786" s="128">
        <f>SUM(C32:C34)</f>
        <v>33.25</v>
      </c>
      <c r="D786" s="131">
        <f t="shared" si="114"/>
        <v>3015.2330827067667</v>
      </c>
      <c r="E786" s="126"/>
      <c r="F786" s="126">
        <f aca="true" t="shared" si="120" ref="F786:S786">SUM(F32:F34)</f>
        <v>100256.5</v>
      </c>
      <c r="G786" s="126">
        <f t="shared" si="120"/>
        <v>0</v>
      </c>
      <c r="H786" s="126">
        <f t="shared" si="120"/>
        <v>0</v>
      </c>
      <c r="I786" s="126">
        <f t="shared" si="120"/>
        <v>25418.06</v>
      </c>
      <c r="J786" s="126">
        <f t="shared" si="120"/>
        <v>17247.9375</v>
      </c>
      <c r="K786" s="126">
        <f t="shared" si="120"/>
        <v>23335.5925</v>
      </c>
      <c r="L786" s="126">
        <f t="shared" si="120"/>
        <v>0</v>
      </c>
      <c r="M786" s="126">
        <f t="shared" si="120"/>
        <v>0</v>
      </c>
      <c r="N786" s="126">
        <f t="shared" si="120"/>
        <v>0</v>
      </c>
      <c r="O786" s="126">
        <f t="shared" si="120"/>
        <v>0</v>
      </c>
      <c r="P786" s="126">
        <f t="shared" si="120"/>
        <v>66001.59</v>
      </c>
      <c r="Q786" s="126">
        <f t="shared" si="120"/>
        <v>166258.09</v>
      </c>
      <c r="R786" s="126">
        <f t="shared" si="120"/>
        <v>0</v>
      </c>
      <c r="S786" s="126">
        <f t="shared" si="120"/>
        <v>1995097.0799999998</v>
      </c>
    </row>
    <row r="787" spans="1:19" ht="12.75">
      <c r="A787" s="123"/>
      <c r="B787" s="123" t="s">
        <v>299</v>
      </c>
      <c r="C787" s="128">
        <f>SUM(C35:C39)</f>
        <v>138</v>
      </c>
      <c r="D787" s="131">
        <f t="shared" si="114"/>
        <v>2830.0126811594205</v>
      </c>
      <c r="E787" s="126"/>
      <c r="F787" s="126">
        <f aca="true" t="shared" si="121" ref="F787:S787">SUM(F35:F39)</f>
        <v>390541.75</v>
      </c>
      <c r="G787" s="126">
        <f t="shared" si="121"/>
        <v>0</v>
      </c>
      <c r="H787" s="126">
        <f t="shared" si="121"/>
        <v>582.8000000000001</v>
      </c>
      <c r="I787" s="126">
        <f t="shared" si="121"/>
        <v>82425.72499999999</v>
      </c>
      <c r="J787" s="126">
        <f t="shared" si="121"/>
        <v>52023.1875</v>
      </c>
      <c r="K787" s="126">
        <f t="shared" si="121"/>
        <v>70591.65</v>
      </c>
      <c r="L787" s="126">
        <f t="shared" si="121"/>
        <v>0</v>
      </c>
      <c r="M787" s="126">
        <f t="shared" si="121"/>
        <v>9541</v>
      </c>
      <c r="N787" s="126">
        <f t="shared" si="121"/>
        <v>0</v>
      </c>
      <c r="O787" s="126">
        <f t="shared" si="121"/>
        <v>0</v>
      </c>
      <c r="P787" s="126">
        <f t="shared" si="121"/>
        <v>215164.3625</v>
      </c>
      <c r="Q787" s="126">
        <f t="shared" si="121"/>
        <v>605706.1125</v>
      </c>
      <c r="R787" s="126">
        <f t="shared" si="121"/>
        <v>0</v>
      </c>
      <c r="S787" s="126">
        <f t="shared" si="121"/>
        <v>7268473.350000001</v>
      </c>
    </row>
    <row r="788" spans="1:19" ht="12.75">
      <c r="A788" s="123"/>
      <c r="B788" s="123" t="s">
        <v>464</v>
      </c>
      <c r="C788" s="127">
        <f>SUM(C40:C42)</f>
        <v>31.5</v>
      </c>
      <c r="D788" s="131">
        <f t="shared" si="114"/>
        <v>2556</v>
      </c>
      <c r="E788" s="127"/>
      <c r="F788" s="126">
        <f aca="true" t="shared" si="122" ref="F788:S788">SUM(F40:F42)</f>
        <v>80514</v>
      </c>
      <c r="G788" s="126">
        <f t="shared" si="122"/>
        <v>0</v>
      </c>
      <c r="H788" s="126">
        <f t="shared" si="122"/>
        <v>702.9000000000001</v>
      </c>
      <c r="I788" s="126">
        <f t="shared" si="122"/>
        <v>17350.64</v>
      </c>
      <c r="J788" s="126">
        <f t="shared" si="122"/>
        <v>0</v>
      </c>
      <c r="K788" s="126">
        <f t="shared" si="122"/>
        <v>0</v>
      </c>
      <c r="L788" s="126">
        <f t="shared" si="122"/>
        <v>0</v>
      </c>
      <c r="M788" s="126">
        <f t="shared" si="122"/>
        <v>1533.6</v>
      </c>
      <c r="N788" s="126">
        <f t="shared" si="122"/>
        <v>0</v>
      </c>
      <c r="O788" s="126">
        <f t="shared" si="122"/>
        <v>0</v>
      </c>
      <c r="P788" s="126">
        <f t="shared" si="122"/>
        <v>19587.139999999996</v>
      </c>
      <c r="Q788" s="126">
        <f t="shared" si="122"/>
        <v>100101.14000000001</v>
      </c>
      <c r="R788" s="126">
        <f t="shared" si="122"/>
        <v>0</v>
      </c>
      <c r="S788" s="126">
        <f t="shared" si="122"/>
        <v>1201213.68</v>
      </c>
    </row>
    <row r="789" spans="1:19" ht="12.75">
      <c r="A789" s="123"/>
      <c r="B789" s="123" t="s">
        <v>465</v>
      </c>
      <c r="C789" s="128">
        <f>SUM(C43:C45)</f>
        <v>35.55</v>
      </c>
      <c r="D789" s="131">
        <f t="shared" si="114"/>
        <v>2377.0000000000005</v>
      </c>
      <c r="E789" s="126"/>
      <c r="F789" s="126">
        <f aca="true" t="shared" si="123" ref="F789:S789">SUM(F43:F45)</f>
        <v>84502.35</v>
      </c>
      <c r="G789" s="126">
        <f t="shared" si="123"/>
        <v>0</v>
      </c>
      <c r="H789" s="126">
        <f t="shared" si="123"/>
        <v>297.125</v>
      </c>
      <c r="I789" s="126">
        <f t="shared" si="123"/>
        <v>11780.897500000001</v>
      </c>
      <c r="J789" s="126">
        <f t="shared" si="123"/>
        <v>445.6875</v>
      </c>
      <c r="K789" s="126">
        <f t="shared" si="123"/>
        <v>0</v>
      </c>
      <c r="L789" s="126">
        <f t="shared" si="123"/>
        <v>0</v>
      </c>
      <c r="M789" s="126">
        <f t="shared" si="123"/>
        <v>713.1</v>
      </c>
      <c r="N789" s="126">
        <f t="shared" si="123"/>
        <v>0</v>
      </c>
      <c r="O789" s="126">
        <f t="shared" si="123"/>
        <v>0</v>
      </c>
      <c r="P789" s="126">
        <f t="shared" si="123"/>
        <v>13236.810000000001</v>
      </c>
      <c r="Q789" s="126">
        <f t="shared" si="123"/>
        <v>97739.16</v>
      </c>
      <c r="R789" s="126">
        <f t="shared" si="123"/>
        <v>0</v>
      </c>
      <c r="S789" s="126">
        <f t="shared" si="123"/>
        <v>1172869.9200000002</v>
      </c>
    </row>
    <row r="790" spans="1:19" ht="12.75">
      <c r="A790" s="123"/>
      <c r="B790" s="123"/>
      <c r="C790" s="128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9"/>
    </row>
    <row r="791" spans="1:19" ht="12.75">
      <c r="A791" s="123"/>
      <c r="B791" s="123"/>
      <c r="C791" s="128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8"/>
      <c r="S791" s="130"/>
    </row>
    <row r="792" spans="1:19" ht="12.75">
      <c r="A792" s="123"/>
      <c r="B792" s="123" t="s">
        <v>466</v>
      </c>
      <c r="C792" s="127"/>
      <c r="D792" s="127"/>
      <c r="E792" s="126"/>
      <c r="F792" s="128"/>
      <c r="G792" s="128"/>
      <c r="H792" s="127"/>
      <c r="I792" s="127"/>
      <c r="J792" s="126"/>
      <c r="K792" s="128"/>
      <c r="L792" s="128"/>
      <c r="M792" s="126"/>
      <c r="N792" s="126"/>
      <c r="O792" s="126"/>
      <c r="P792" s="126"/>
      <c r="Q792" s="126"/>
      <c r="R792" s="128"/>
      <c r="S792" s="128"/>
    </row>
    <row r="793" spans="1:19" ht="12.75">
      <c r="A793" s="123"/>
      <c r="B793" s="123" t="s">
        <v>460</v>
      </c>
      <c r="C793" s="143">
        <f>C467+C472</f>
        <v>5.75</v>
      </c>
      <c r="D793" s="131">
        <f aca="true" t="shared" si="124" ref="D793:D801">F793/C793</f>
        <v>3143.2608695652175</v>
      </c>
      <c r="E793" s="143"/>
      <c r="F793" s="131">
        <f aca="true" t="shared" si="125" ref="F793:S793">F467+F472</f>
        <v>18073.75</v>
      </c>
      <c r="G793" s="131">
        <f t="shared" si="125"/>
        <v>1672</v>
      </c>
      <c r="H793" s="131">
        <f t="shared" si="125"/>
        <v>1444.0500000000002</v>
      </c>
      <c r="I793" s="131">
        <f t="shared" si="125"/>
        <v>5422.125</v>
      </c>
      <c r="J793" s="131">
        <f t="shared" si="125"/>
        <v>3614.7500000000005</v>
      </c>
      <c r="K793" s="131">
        <f t="shared" si="125"/>
        <v>5964.3375</v>
      </c>
      <c r="L793" s="131">
        <f t="shared" si="125"/>
        <v>0</v>
      </c>
      <c r="M793" s="131">
        <f t="shared" si="125"/>
        <v>0</v>
      </c>
      <c r="N793" s="131">
        <f t="shared" si="125"/>
        <v>0</v>
      </c>
      <c r="O793" s="131">
        <f t="shared" si="125"/>
        <v>0</v>
      </c>
      <c r="P793" s="131">
        <f t="shared" si="125"/>
        <v>18117.2625</v>
      </c>
      <c r="Q793" s="131">
        <f t="shared" si="125"/>
        <v>36191.0125</v>
      </c>
      <c r="R793" s="131">
        <f t="shared" si="125"/>
        <v>0</v>
      </c>
      <c r="S793" s="131">
        <f t="shared" si="125"/>
        <v>434292.15</v>
      </c>
    </row>
    <row r="794" spans="1:19" ht="12.75">
      <c r="A794" s="123"/>
      <c r="B794" s="123" t="s">
        <v>461</v>
      </c>
      <c r="C794" s="128">
        <f>C467+C468+C472</f>
        <v>6.75</v>
      </c>
      <c r="D794" s="131">
        <f t="shared" si="124"/>
        <v>3173</v>
      </c>
      <c r="E794" s="126"/>
      <c r="F794" s="126">
        <f aca="true" t="shared" si="126" ref="F794:S794">F467+F468+F472</f>
        <v>21417.75</v>
      </c>
      <c r="G794" s="126">
        <f t="shared" si="126"/>
        <v>3344</v>
      </c>
      <c r="H794" s="126">
        <f t="shared" si="126"/>
        <v>1444.0500000000002</v>
      </c>
      <c r="I794" s="126">
        <f t="shared" si="126"/>
        <v>5756.525</v>
      </c>
      <c r="J794" s="126">
        <f t="shared" si="126"/>
        <v>4283.55</v>
      </c>
      <c r="K794" s="126">
        <f t="shared" si="126"/>
        <v>7067.8575</v>
      </c>
      <c r="L794" s="126">
        <f t="shared" si="126"/>
        <v>0</v>
      </c>
      <c r="M794" s="126">
        <f t="shared" si="126"/>
        <v>0</v>
      </c>
      <c r="N794" s="126">
        <f t="shared" si="126"/>
        <v>0</v>
      </c>
      <c r="O794" s="126">
        <f t="shared" si="126"/>
        <v>0</v>
      </c>
      <c r="P794" s="126">
        <f t="shared" si="126"/>
        <v>21895.982500000002</v>
      </c>
      <c r="Q794" s="126">
        <f t="shared" si="126"/>
        <v>43313.7325</v>
      </c>
      <c r="R794" s="126">
        <f t="shared" si="126"/>
        <v>0</v>
      </c>
      <c r="S794" s="126">
        <f t="shared" si="126"/>
        <v>519764.79</v>
      </c>
    </row>
    <row r="795" spans="1:19" ht="12.75">
      <c r="A795" s="123"/>
      <c r="B795" s="123" t="s">
        <v>299</v>
      </c>
      <c r="C795" s="128">
        <f>C468+SUM(C473:C473)+C653+C673+C690+C691+C700+C683</f>
        <v>56.25</v>
      </c>
      <c r="D795" s="131">
        <f t="shared" si="124"/>
        <v>2882.8533333333335</v>
      </c>
      <c r="E795" s="126"/>
      <c r="F795" s="126">
        <f aca="true" t="shared" si="127" ref="F795:S795">F468+SUM(F473:F473)+F653+F673+F690+F691+F700+F683</f>
        <v>162160.5</v>
      </c>
      <c r="G795" s="126">
        <f t="shared" si="127"/>
        <v>2656</v>
      </c>
      <c r="H795" s="126">
        <f t="shared" si="127"/>
        <v>1311.3000000000002</v>
      </c>
      <c r="I795" s="126">
        <f t="shared" si="127"/>
        <v>22200.36</v>
      </c>
      <c r="J795" s="126">
        <f t="shared" si="127"/>
        <v>19839.539999999997</v>
      </c>
      <c r="K795" s="126">
        <f t="shared" si="127"/>
        <v>40224.844999999994</v>
      </c>
      <c r="L795" s="126">
        <f t="shared" si="127"/>
        <v>174.84</v>
      </c>
      <c r="M795" s="126">
        <f t="shared" si="127"/>
        <v>2833.75</v>
      </c>
      <c r="N795" s="126">
        <f t="shared" si="127"/>
        <v>0</v>
      </c>
      <c r="O795" s="126">
        <f t="shared" si="127"/>
        <v>0</v>
      </c>
      <c r="P795" s="126">
        <f t="shared" si="127"/>
        <v>89240.635</v>
      </c>
      <c r="Q795" s="126">
        <f t="shared" si="127"/>
        <v>251401.13499999998</v>
      </c>
      <c r="R795" s="126">
        <f t="shared" si="127"/>
        <v>0</v>
      </c>
      <c r="S795" s="126">
        <f t="shared" si="127"/>
        <v>3016813.62</v>
      </c>
    </row>
    <row r="796" spans="1:19" ht="12.75">
      <c r="A796" s="123"/>
      <c r="B796" s="123" t="s">
        <v>462</v>
      </c>
      <c r="C796" s="128">
        <f>C473+C474+C475+C476+C477+C480+C683+C690+C691+C700</f>
        <v>104.5</v>
      </c>
      <c r="D796" s="131">
        <f t="shared" si="124"/>
        <v>2665.653110047847</v>
      </c>
      <c r="E796" s="126"/>
      <c r="F796" s="126">
        <f aca="true" t="shared" si="128" ref="F796:S796">F473+F474+F475+F476+F477+F480+F683+F690+F691+F700</f>
        <v>278560.75</v>
      </c>
      <c r="G796" s="126">
        <f t="shared" si="128"/>
        <v>0</v>
      </c>
      <c r="H796" s="126">
        <f t="shared" si="128"/>
        <v>1311.3000000000002</v>
      </c>
      <c r="I796" s="126">
        <f t="shared" si="128"/>
        <v>42310.11</v>
      </c>
      <c r="J796" s="126">
        <f t="shared" si="128"/>
        <v>30892.234999999997</v>
      </c>
      <c r="K796" s="126">
        <f t="shared" si="128"/>
        <v>37572.825</v>
      </c>
      <c r="L796" s="126">
        <f t="shared" si="128"/>
        <v>174.84</v>
      </c>
      <c r="M796" s="126">
        <f t="shared" si="128"/>
        <v>1959.5499999999997</v>
      </c>
      <c r="N796" s="126">
        <f t="shared" si="128"/>
        <v>0</v>
      </c>
      <c r="O796" s="126">
        <f t="shared" si="128"/>
        <v>0</v>
      </c>
      <c r="P796" s="126">
        <f t="shared" si="128"/>
        <v>114220.86</v>
      </c>
      <c r="Q796" s="126">
        <f t="shared" si="128"/>
        <v>392781.61</v>
      </c>
      <c r="R796" s="126">
        <f t="shared" si="128"/>
        <v>0</v>
      </c>
      <c r="S796" s="126">
        <f t="shared" si="128"/>
        <v>4713379.319999999</v>
      </c>
    </row>
    <row r="797" spans="1:19" ht="12.75">
      <c r="A797" s="123"/>
      <c r="B797" s="123" t="s">
        <v>463</v>
      </c>
      <c r="C797" s="126">
        <f>C672+C690</f>
        <v>2</v>
      </c>
      <c r="D797" s="131">
        <f t="shared" si="124"/>
        <v>2735</v>
      </c>
      <c r="E797" s="126"/>
      <c r="F797" s="126">
        <f aca="true" t="shared" si="129" ref="F797:S797">F672+F690</f>
        <v>5470</v>
      </c>
      <c r="G797" s="126">
        <f t="shared" si="129"/>
        <v>0</v>
      </c>
      <c r="H797" s="126">
        <f t="shared" si="129"/>
        <v>0</v>
      </c>
      <c r="I797" s="126">
        <f t="shared" si="129"/>
        <v>1641</v>
      </c>
      <c r="J797" s="126">
        <f t="shared" si="129"/>
        <v>728.5</v>
      </c>
      <c r="K797" s="126">
        <f t="shared" si="129"/>
        <v>437.09999999999997</v>
      </c>
      <c r="L797" s="126">
        <f t="shared" si="129"/>
        <v>430.44000000000005</v>
      </c>
      <c r="M797" s="126">
        <f t="shared" si="129"/>
        <v>0</v>
      </c>
      <c r="N797" s="126">
        <f t="shared" si="129"/>
        <v>0</v>
      </c>
      <c r="O797" s="126">
        <f t="shared" si="129"/>
        <v>0</v>
      </c>
      <c r="P797" s="126">
        <f t="shared" si="129"/>
        <v>3237.04</v>
      </c>
      <c r="Q797" s="126">
        <f t="shared" si="129"/>
        <v>8707.039999999999</v>
      </c>
      <c r="R797" s="126">
        <f t="shared" si="129"/>
        <v>0</v>
      </c>
      <c r="S797" s="126">
        <f t="shared" si="129"/>
        <v>104484.48</v>
      </c>
    </row>
    <row r="798" spans="1:19" ht="12.75">
      <c r="A798" s="123"/>
      <c r="B798" s="123" t="s">
        <v>298</v>
      </c>
      <c r="C798" s="128">
        <f>C472+C691</f>
        <v>5.75</v>
      </c>
      <c r="D798" s="131">
        <f t="shared" si="124"/>
        <v>3068.478260869565</v>
      </c>
      <c r="E798" s="128"/>
      <c r="F798" s="126">
        <f aca="true" t="shared" si="130" ref="F798:S798">F472+F691</f>
        <v>17643.75</v>
      </c>
      <c r="G798" s="126">
        <f t="shared" si="130"/>
        <v>0</v>
      </c>
      <c r="H798" s="126">
        <f t="shared" si="130"/>
        <v>775.25</v>
      </c>
      <c r="I798" s="126">
        <f t="shared" si="130"/>
        <v>5293.125</v>
      </c>
      <c r="J798" s="126">
        <f t="shared" si="130"/>
        <v>3674.4500000000003</v>
      </c>
      <c r="K798" s="126">
        <f t="shared" si="130"/>
        <v>5297.9175000000005</v>
      </c>
      <c r="L798" s="126">
        <f t="shared" si="130"/>
        <v>0</v>
      </c>
      <c r="M798" s="126">
        <f t="shared" si="130"/>
        <v>0</v>
      </c>
      <c r="N798" s="126">
        <f t="shared" si="130"/>
        <v>0</v>
      </c>
      <c r="O798" s="126">
        <f t="shared" si="130"/>
        <v>0</v>
      </c>
      <c r="P798" s="126">
        <f t="shared" si="130"/>
        <v>15040.7425</v>
      </c>
      <c r="Q798" s="126">
        <f t="shared" si="130"/>
        <v>32684.4925</v>
      </c>
      <c r="R798" s="126">
        <f t="shared" si="130"/>
        <v>0</v>
      </c>
      <c r="S798" s="126">
        <f t="shared" si="130"/>
        <v>392213.91</v>
      </c>
    </row>
    <row r="799" spans="1:19" ht="12.75">
      <c r="A799" s="123"/>
      <c r="B799" s="123" t="s">
        <v>299</v>
      </c>
      <c r="C799" s="128">
        <f>SUM(C473:C476)+C673+C692</f>
        <v>104</v>
      </c>
      <c r="D799" s="131">
        <f t="shared" si="124"/>
        <v>2710.4735576923076</v>
      </c>
      <c r="E799" s="126"/>
      <c r="F799" s="126">
        <f aca="true" t="shared" si="131" ref="F799:S799">SUM(F473:F476)+F673+F692</f>
        <v>281889.25</v>
      </c>
      <c r="G799" s="126">
        <f t="shared" si="131"/>
        <v>0</v>
      </c>
      <c r="H799" s="126">
        <f t="shared" si="131"/>
        <v>1311.3000000000002</v>
      </c>
      <c r="I799" s="126">
        <f t="shared" si="131"/>
        <v>45804.51</v>
      </c>
      <c r="J799" s="126">
        <f t="shared" si="131"/>
        <v>31799.469999999998</v>
      </c>
      <c r="K799" s="126">
        <f t="shared" si="131"/>
        <v>39666.825</v>
      </c>
      <c r="L799" s="126">
        <f t="shared" si="131"/>
        <v>0</v>
      </c>
      <c r="M799" s="126">
        <f t="shared" si="131"/>
        <v>1748.3999999999999</v>
      </c>
      <c r="N799" s="126">
        <f t="shared" si="131"/>
        <v>0</v>
      </c>
      <c r="O799" s="126">
        <f t="shared" si="131"/>
        <v>0</v>
      </c>
      <c r="P799" s="126">
        <f t="shared" si="131"/>
        <v>120330.50499999999</v>
      </c>
      <c r="Q799" s="126">
        <f t="shared" si="131"/>
        <v>402219.755</v>
      </c>
      <c r="R799" s="126">
        <f t="shared" si="131"/>
        <v>0</v>
      </c>
      <c r="S799" s="126">
        <f t="shared" si="131"/>
        <v>4826637.06</v>
      </c>
    </row>
    <row r="800" spans="1:19" ht="12.75">
      <c r="A800" s="123"/>
      <c r="B800" s="123" t="s">
        <v>464</v>
      </c>
      <c r="C800" s="127">
        <f>C477+C478+C479+C674</f>
        <v>55.25</v>
      </c>
      <c r="D800" s="131">
        <f t="shared" si="124"/>
        <v>2556</v>
      </c>
      <c r="E800" s="127"/>
      <c r="F800" s="126">
        <f aca="true" t="shared" si="132" ref="F800:S800">F477+F478+F479+F674</f>
        <v>141219</v>
      </c>
      <c r="G800" s="126">
        <f t="shared" si="132"/>
        <v>0</v>
      </c>
      <c r="H800" s="126">
        <f t="shared" si="132"/>
        <v>958.5</v>
      </c>
      <c r="I800" s="126">
        <f t="shared" si="132"/>
        <v>21285.16</v>
      </c>
      <c r="J800" s="126">
        <f t="shared" si="132"/>
        <v>383.4</v>
      </c>
      <c r="K800" s="126">
        <f t="shared" si="132"/>
        <v>0</v>
      </c>
      <c r="L800" s="126">
        <f t="shared" si="132"/>
        <v>0</v>
      </c>
      <c r="M800" s="126">
        <f t="shared" si="132"/>
        <v>1533.6</v>
      </c>
      <c r="N800" s="126">
        <f t="shared" si="132"/>
        <v>0</v>
      </c>
      <c r="O800" s="126">
        <f t="shared" si="132"/>
        <v>0</v>
      </c>
      <c r="P800" s="126">
        <f t="shared" si="132"/>
        <v>24160.66</v>
      </c>
      <c r="Q800" s="126">
        <f t="shared" si="132"/>
        <v>165379.66</v>
      </c>
      <c r="R800" s="126">
        <f t="shared" si="132"/>
        <v>0</v>
      </c>
      <c r="S800" s="126">
        <f t="shared" si="132"/>
        <v>1984555.92</v>
      </c>
    </row>
    <row r="801" spans="1:19" ht="12.75">
      <c r="A801" s="123"/>
      <c r="B801" s="123" t="s">
        <v>465</v>
      </c>
      <c r="C801" s="128">
        <f>SUM(C480:C483)</f>
        <v>69</v>
      </c>
      <c r="D801" s="131">
        <f t="shared" si="124"/>
        <v>2377</v>
      </c>
      <c r="E801" s="126"/>
      <c r="F801" s="126">
        <f aca="true" t="shared" si="133" ref="F801:S801">SUM(F480:F483)</f>
        <v>164013</v>
      </c>
      <c r="G801" s="126">
        <f t="shared" si="133"/>
        <v>0</v>
      </c>
      <c r="H801" s="126">
        <f t="shared" si="133"/>
        <v>89.1375</v>
      </c>
      <c r="I801" s="126">
        <f t="shared" si="133"/>
        <v>16579.575</v>
      </c>
      <c r="J801" s="126">
        <f t="shared" si="133"/>
        <v>1247.925</v>
      </c>
      <c r="K801" s="126">
        <f t="shared" si="133"/>
        <v>0</v>
      </c>
      <c r="L801" s="126">
        <f t="shared" si="133"/>
        <v>0</v>
      </c>
      <c r="M801" s="126">
        <f t="shared" si="133"/>
        <v>0</v>
      </c>
      <c r="N801" s="126">
        <f t="shared" si="133"/>
        <v>0</v>
      </c>
      <c r="O801" s="126">
        <f t="shared" si="133"/>
        <v>0</v>
      </c>
      <c r="P801" s="126">
        <f t="shared" si="133"/>
        <v>17916.6375</v>
      </c>
      <c r="Q801" s="126">
        <f t="shared" si="133"/>
        <v>181929.6375</v>
      </c>
      <c r="R801" s="126">
        <f t="shared" si="133"/>
        <v>0</v>
      </c>
      <c r="S801" s="126">
        <f t="shared" si="133"/>
        <v>2183155.6500000004</v>
      </c>
    </row>
    <row r="802" spans="1:19" ht="12.75">
      <c r="A802" s="123"/>
      <c r="B802" s="123"/>
      <c r="C802" s="128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9"/>
    </row>
    <row r="803" spans="1:19" ht="12.75">
      <c r="A803" s="123"/>
      <c r="B803" s="123"/>
      <c r="C803" s="132"/>
      <c r="D803" s="132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</row>
    <row r="804" spans="1:19" ht="12.75">
      <c r="A804" s="123"/>
      <c r="B804" s="126"/>
      <c r="C804" s="132"/>
      <c r="D804" s="132"/>
      <c r="E804" s="13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</row>
    <row r="805" spans="1:19" ht="12.75">
      <c r="A805" s="123"/>
      <c r="B805" s="123"/>
      <c r="C805" s="132"/>
      <c r="D805" s="132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</row>
    <row r="806" spans="1:19" ht="12.75">
      <c r="A806" s="123"/>
      <c r="B806" s="123"/>
      <c r="C806" s="132"/>
      <c r="D806" s="132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</row>
    <row r="807" spans="1:19" ht="12.75">
      <c r="A807" s="123"/>
      <c r="B807" s="123"/>
      <c r="C807" s="132"/>
      <c r="D807" s="132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</row>
    <row r="808" spans="1:19" ht="12.75">
      <c r="A808" s="123"/>
      <c r="B808" s="123"/>
      <c r="C808" s="132"/>
      <c r="D808" s="132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</row>
    <row r="809" spans="1:19" ht="12.75">
      <c r="A809" s="123"/>
      <c r="B809" s="123"/>
      <c r="C809" s="132"/>
      <c r="D809" s="132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</row>
    <row r="810" spans="1:19" ht="12.75">
      <c r="A810" s="123"/>
      <c r="B810" s="123"/>
      <c r="C810" s="132"/>
      <c r="D810" s="132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</row>
    <row r="811" spans="1:19" ht="12.75">
      <c r="A811" s="123"/>
      <c r="B811" s="123"/>
      <c r="C811" s="132"/>
      <c r="D811" s="132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</row>
    <row r="812" spans="1:19" ht="12.7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</row>
    <row r="813" spans="1:19" ht="12.75">
      <c r="A813" s="123"/>
      <c r="B813" s="123"/>
      <c r="C813" s="126"/>
      <c r="D813" s="126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</row>
    <row r="814" spans="1:19" ht="12.7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</row>
    <row r="815" spans="1:19" ht="12.7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</row>
    <row r="816" spans="1:19" ht="12.7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</row>
    <row r="817" spans="1:19" ht="12.7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</row>
    <row r="818" spans="1:19" ht="12.7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</row>
    <row r="819" spans="1:19" ht="12.7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</row>
    <row r="820" spans="1:19" ht="12.7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</row>
    <row r="821" spans="1:19" ht="12.7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</row>
    <row r="822" spans="1:19" ht="12.7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</row>
    <row r="823" spans="1:19" ht="12.7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</row>
    <row r="824" spans="1:19" ht="12.7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</row>
    <row r="825" spans="1:19" ht="12.7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</row>
    <row r="826" spans="1:19" ht="12.7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</row>
    <row r="827" spans="1:19" ht="12.7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</row>
    <row r="828" spans="1:19" ht="12.7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</row>
    <row r="829" spans="1:19" ht="12.7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</row>
    <row r="830" spans="1:19" ht="12.7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</row>
    <row r="831" spans="1:19" ht="12.7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</row>
    <row r="832" spans="1:19" ht="12.7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</row>
    <row r="833" spans="1:19" ht="12.7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</row>
    <row r="834" spans="1:19" ht="12.7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</row>
    <row r="835" spans="1:19" ht="12.7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</row>
    <row r="836" spans="1:19" ht="12.7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</row>
    <row r="837" spans="1:19" ht="12.7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</row>
    <row r="838" spans="1:19" ht="12.7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</row>
    <row r="839" spans="1:19" ht="12.7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</row>
    <row r="840" spans="1:19" ht="12.7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</row>
    <row r="841" spans="1:19" ht="12.7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</row>
    <row r="842" spans="1:19" ht="12.7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</row>
    <row r="843" spans="1:19" ht="12.7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</row>
    <row r="844" spans="1:19" ht="12.7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</row>
    <row r="845" spans="1:19" ht="12.7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</row>
    <row r="846" spans="1:19" ht="12.7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</row>
    <row r="847" spans="1:19" ht="12.7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</row>
    <row r="848" spans="1:19" ht="12.7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</row>
    <row r="849" spans="1:19" ht="12.7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</row>
    <row r="850" spans="1:19" ht="12.7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</row>
    <row r="851" spans="1:19" ht="12.7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</row>
    <row r="852" spans="1:19" ht="12.7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</row>
    <row r="853" spans="1:19" ht="12.7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</row>
    <row r="854" spans="1:19" ht="12.7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</row>
    <row r="855" spans="1:19" ht="12.7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</row>
    <row r="856" spans="1:19" ht="12.7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</row>
    <row r="857" spans="1:19" ht="12.7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</row>
    <row r="858" spans="1:19" ht="12.7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</row>
    <row r="859" spans="1:19" ht="12.7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</row>
    <row r="860" spans="1:19" ht="12.7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</row>
    <row r="861" spans="1:19" ht="12.7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</row>
    <row r="862" spans="1:19" ht="12.7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</row>
    <row r="863" spans="1:19" ht="12.7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</row>
    <row r="864" spans="1:19" ht="12.7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</row>
    <row r="865" spans="1:19" ht="12.7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</row>
    <row r="866" spans="1:19" ht="12.7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</row>
    <row r="867" spans="1:19" ht="12.7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</row>
    <row r="868" spans="1:19" ht="12.7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</row>
    <row r="869" spans="1:19" ht="12.7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</row>
    <row r="870" spans="1:19" ht="12.7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</row>
    <row r="871" spans="1:19" ht="12.7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</row>
    <row r="872" spans="1:19" ht="12.7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</row>
    <row r="873" spans="1:19" ht="12.7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</row>
    <row r="874" spans="1:19" ht="12.7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</row>
    <row r="875" spans="1:19" ht="12.7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</row>
    <row r="876" spans="1:19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</sheetData>
  <sheetProtection/>
  <mergeCells count="72">
    <mergeCell ref="C736:E736"/>
    <mergeCell ref="A717:S717"/>
    <mergeCell ref="A733:B733"/>
    <mergeCell ref="A734:B734"/>
    <mergeCell ref="A66:A67"/>
    <mergeCell ref="A471:S471"/>
    <mergeCell ref="A707:S707"/>
    <mergeCell ref="A708:A715"/>
    <mergeCell ref="A460:B460"/>
    <mergeCell ref="A462:B462"/>
    <mergeCell ref="B11:B13"/>
    <mergeCell ref="A24:S24"/>
    <mergeCell ref="H3:S3"/>
    <mergeCell ref="H5:S6"/>
    <mergeCell ref="K12:K13"/>
    <mergeCell ref="A71:A74"/>
    <mergeCell ref="A15:S15"/>
    <mergeCell ref="A16:S16"/>
    <mergeCell ref="A11:A13"/>
    <mergeCell ref="O12:O13"/>
    <mergeCell ref="A463:B463"/>
    <mergeCell ref="A464:S464"/>
    <mergeCell ref="A465:S465"/>
    <mergeCell ref="H12:H13"/>
    <mergeCell ref="C11:C13"/>
    <mergeCell ref="D11:D13"/>
    <mergeCell ref="E11:E13"/>
    <mergeCell ref="G12:G13"/>
    <mergeCell ref="B292:S292"/>
    <mergeCell ref="A50:B50"/>
    <mergeCell ref="Q10:S10"/>
    <mergeCell ref="S11:S13"/>
    <mergeCell ref="I8:Q8"/>
    <mergeCell ref="P11:P13"/>
    <mergeCell ref="N12:N13"/>
    <mergeCell ref="I12:I13"/>
    <mergeCell ref="J12:J13"/>
    <mergeCell ref="L12:L13"/>
    <mergeCell ref="B1:E1"/>
    <mergeCell ref="H1:S1"/>
    <mergeCell ref="B2:E2"/>
    <mergeCell ref="H2:S2"/>
    <mergeCell ref="B4:F4"/>
    <mergeCell ref="H4:S4"/>
    <mergeCell ref="B3:E3"/>
    <mergeCell ref="A51:B51"/>
    <mergeCell ref="A52:S52"/>
    <mergeCell ref="A53:A56"/>
    <mergeCell ref="F11:F13"/>
    <mergeCell ref="G11:I11"/>
    <mergeCell ref="J11:O11"/>
    <mergeCell ref="Q11:Q13"/>
    <mergeCell ref="M12:M13"/>
    <mergeCell ref="A47:S47"/>
    <mergeCell ref="A25:A31"/>
    <mergeCell ref="A58:A60"/>
    <mergeCell ref="A682:S682"/>
    <mergeCell ref="A458:B458"/>
    <mergeCell ref="A76:A78"/>
    <mergeCell ref="A81:A85"/>
    <mergeCell ref="A88:A91"/>
    <mergeCell ref="A97:A101"/>
    <mergeCell ref="A109:A115"/>
    <mergeCell ref="A128:A130"/>
    <mergeCell ref="A461:B461"/>
    <mergeCell ref="A732:B732"/>
    <mergeCell ref="A731:B731"/>
    <mergeCell ref="A486:B486"/>
    <mergeCell ref="A487:S487"/>
    <mergeCell ref="A651:S651"/>
    <mergeCell ref="A699:S699"/>
    <mergeCell ref="A729:B729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  <headerFooter alignWithMargins="0">
    <oddHeader>&amp;C&amp;P</oddHeader>
  </headerFooter>
  <rowBreaks count="10" manualBreakCount="10">
    <brk id="65" max="18" man="1"/>
    <brk id="131" max="18" man="1"/>
    <brk id="165" max="18" man="1"/>
    <brk id="198" max="18" man="1"/>
    <brk id="261" max="18" man="1"/>
    <brk id="366" max="18" man="1"/>
    <brk id="490" max="18" man="1"/>
    <brk id="523" max="18" man="1"/>
    <brk id="650" max="18" man="1"/>
    <brk id="68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2003-10-20T07:23:17Z</cp:lastPrinted>
  <dcterms:created xsi:type="dcterms:W3CDTF">1996-10-08T23:32:33Z</dcterms:created>
  <dcterms:modified xsi:type="dcterms:W3CDTF">2003-10-20T07:25:12Z</dcterms:modified>
  <cp:category/>
  <cp:version/>
  <cp:contentType/>
  <cp:contentStatus/>
</cp:coreProperties>
</file>